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7.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3. HEURES SUPPLEMENTAIRES\"/>
    </mc:Choice>
  </mc:AlternateContent>
  <xr:revisionPtr revIDLastSave="0" documentId="13_ncr:1_{9D77CB8F-F2DF-4CFC-92B8-D2A820B61E9A}" xr6:coauthVersionLast="47" xr6:coauthVersionMax="47" xr10:uidLastSave="{00000000-0000-0000-0000-000000000000}"/>
  <bookViews>
    <workbookView xWindow="-120" yWindow="-120" windowWidth="20730" windowHeight="11040" firstSheet="10" activeTab="12" xr2:uid="{00000000-000D-0000-FFFF-FFFF00000000}"/>
  </bookViews>
  <sheets>
    <sheet name="PRESENTATION " sheetId="64" r:id="rId1"/>
    <sheet name="INTRODUCTION " sheetId="66" r:id="rId2"/>
    <sheet name="MASQUE DE SAISIE " sheetId="55" r:id="rId3"/>
    <sheet name="TABLE DES TAUX 2026 " sheetId="50" r:id="rId4"/>
    <sheet name="EXPLICATIONS FEUILLE HEURES SUP" sheetId="87" r:id="rId5"/>
    <sheet name="TRAME DE BP AMELIOREE  " sheetId="88" r:id="rId6"/>
    <sheet name="EXPLIC HEURES SUP SUITE" sheetId="90" r:id="rId7"/>
    <sheet name="BP VERSION JANVIER 2023" sheetId="31" r:id="rId8"/>
    <sheet name="BP FORMAT JUILLET 2023" sheetId="51" r:id="rId9"/>
    <sheet name="HEURES SUPPLEMENTAIRES " sheetId="33" r:id="rId10"/>
    <sheet name="FEUILLE DE CONTROLE " sheetId="67" r:id="rId11"/>
    <sheet name="BOSS" sheetId="89" r:id="rId12"/>
    <sheet name="RGDU " sheetId="91" r:id="rId13"/>
    <sheet name="TR Matrice Net Imposable " sheetId="77" r:id="rId14"/>
    <sheet name="TR Matrice Cotisations " sheetId="78" r:id="rId15"/>
    <sheet name="TAUX NEUTRE " sheetId="86" r:id="rId16"/>
    <sheet name="TAUX NEUTRE JANVIER  " sheetId="24" r:id="rId17"/>
    <sheet name="TAUX NEUTRE MAI " sheetId="85" r:id="rId18"/>
    <sheet name="MATRICE IJSS ABSENCE " sheetId="65" r:id="rId19"/>
    <sheet name="MATRICE IJSS MALADIE" sheetId="80" r:id="rId20"/>
    <sheet name="MATRICE IJSS MATERNITE " sheetId="81" r:id="rId21"/>
    <sheet name="MATRICE ISS AT " sheetId="82"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TABLE2019">#REF!</definedName>
    <definedName name="TABLE201NN">#REF!</definedName>
    <definedName name="TABLE20NN">#REF!</definedName>
    <definedName name="TABLETAUX">#REF!</definedName>
    <definedName name="TABLETAUX1">'[1]TABLE DES TAUX 2025 '!$A$1:$D$7</definedName>
    <definedName name="TAUX2015">#REF!</definedName>
    <definedName name="TAUX2023">'TABLE DES TAUX 2026 '!$A$1:$C$57</definedName>
    <definedName name="Taux2026">'TABLE DES TAUX 2026 '!$A$1:$D$66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3" i="91" l="1"/>
  <c r="F23" i="91"/>
  <c r="D23" i="91"/>
  <c r="A145" i="33" l="1"/>
  <c r="E60" i="50"/>
  <c r="C60" i="50"/>
  <c r="E57" i="50"/>
  <c r="C57" i="50"/>
  <c r="D129" i="51"/>
  <c r="D128" i="51"/>
  <c r="D127" i="51"/>
  <c r="D121" i="51"/>
  <c r="D122" i="51"/>
  <c r="D123" i="51"/>
  <c r="D124" i="51"/>
  <c r="D125" i="51"/>
  <c r="D126" i="51"/>
  <c r="D120" i="51"/>
  <c r="D117" i="31"/>
  <c r="D116" i="31"/>
  <c r="D115" i="31"/>
  <c r="D109" i="31"/>
  <c r="D110" i="31"/>
  <c r="D111" i="31"/>
  <c r="D112" i="31"/>
  <c r="D113" i="31"/>
  <c r="D114" i="31"/>
  <c r="D108" i="31"/>
  <c r="D43" i="90"/>
  <c r="D42" i="90"/>
  <c r="D41" i="90"/>
  <c r="F26" i="81"/>
  <c r="G26" i="81" s="1"/>
  <c r="H26" i="81" s="1"/>
  <c r="E26" i="81"/>
  <c r="E25" i="81"/>
  <c r="J24" i="81"/>
  <c r="J25" i="81" s="1"/>
  <c r="J27" i="81" s="1"/>
  <c r="H29" i="81" s="1"/>
  <c r="F24" i="81"/>
  <c r="F25" i="81" s="1"/>
  <c r="G25" i="81" s="1"/>
  <c r="H25" i="81" s="1"/>
  <c r="E24" i="81"/>
  <c r="J23" i="81"/>
  <c r="B15" i="81"/>
  <c r="B14" i="81"/>
  <c r="B12" i="81"/>
  <c r="C46" i="80"/>
  <c r="C38" i="80"/>
  <c r="C37" i="80"/>
  <c r="C50" i="80" s="1"/>
  <c r="C36" i="80"/>
  <c r="C35" i="80"/>
  <c r="C39" i="80" s="1"/>
  <c r="C34" i="80"/>
  <c r="C41" i="80" s="1"/>
  <c r="E24" i="80"/>
  <c r="E23" i="80"/>
  <c r="E22" i="80"/>
  <c r="L20" i="80"/>
  <c r="C17" i="80"/>
  <c r="C16" i="80"/>
  <c r="F24" i="80" s="1"/>
  <c r="G24" i="80" s="1"/>
  <c r="C14" i="80"/>
  <c r="C9" i="80"/>
  <c r="E3" i="80"/>
  <c r="B16" i="81"/>
  <c r="C53" i="80"/>
  <c r="C12" i="80"/>
  <c r="F22" i="80" l="1"/>
  <c r="G22" i="80" s="1"/>
  <c r="F23" i="80"/>
  <c r="G23" i="80" s="1"/>
  <c r="B17" i="81"/>
  <c r="G24" i="81"/>
  <c r="H24" i="81" s="1"/>
  <c r="H27" i="81" s="1"/>
  <c r="H28" i="81" s="1"/>
  <c r="H30" i="81" s="1"/>
  <c r="C54" i="80"/>
  <c r="C13" i="80"/>
  <c r="G25" i="80"/>
  <c r="G26" i="80" s="1"/>
  <c r="C47" i="80"/>
  <c r="C51" i="80"/>
  <c r="C49" i="80"/>
  <c r="C11" i="80"/>
  <c r="G27" i="80" s="1"/>
  <c r="C48" i="80"/>
  <c r="C52" i="80"/>
  <c r="C40" i="80"/>
  <c r="H31" i="81" l="1"/>
  <c r="H34" i="81" s="1"/>
  <c r="H32" i="81"/>
  <c r="H33" i="81" s="1"/>
  <c r="C42" i="80"/>
  <c r="G28" i="80"/>
  <c r="G31" i="80" l="1"/>
  <c r="G30" i="80"/>
  <c r="G29" i="80"/>
  <c r="C55" i="80"/>
  <c r="C56" i="80"/>
  <c r="E46" i="55" l="1"/>
  <c r="F15" i="91"/>
  <c r="E15" i="91"/>
  <c r="E44" i="51"/>
  <c r="E62" i="51"/>
  <c r="E58" i="51"/>
  <c r="E52" i="51"/>
  <c r="E51" i="51"/>
  <c r="E37" i="51"/>
  <c r="E63" i="31"/>
  <c r="E58" i="31"/>
  <c r="E50" i="31"/>
  <c r="E49" i="31"/>
  <c r="E36" i="31"/>
  <c r="E43" i="90"/>
  <c r="E42" i="90"/>
  <c r="J41" i="90"/>
  <c r="J43" i="90" s="1"/>
  <c r="E43" i="55"/>
  <c r="E44" i="55"/>
  <c r="H84" i="50"/>
  <c r="E79" i="50"/>
  <c r="D79" i="50"/>
  <c r="E73" i="50"/>
  <c r="D73" i="50"/>
  <c r="C73" i="50"/>
  <c r="B73" i="50"/>
  <c r="E144" i="90" l="1"/>
  <c r="P121" i="90"/>
  <c r="O121" i="90"/>
  <c r="N121" i="90"/>
  <c r="M121" i="90"/>
  <c r="L121" i="90"/>
  <c r="K121" i="90"/>
  <c r="E121" i="90"/>
  <c r="U120" i="90"/>
  <c r="T120" i="90"/>
  <c r="S120" i="90"/>
  <c r="R120" i="90"/>
  <c r="Q120" i="90"/>
  <c r="R117" i="90"/>
  <c r="K117" i="90"/>
  <c r="K116" i="90"/>
  <c r="E105" i="90"/>
  <c r="E99" i="90"/>
  <c r="U98" i="90"/>
  <c r="T98" i="90"/>
  <c r="S98" i="90"/>
  <c r="R98" i="90"/>
  <c r="Q98" i="90"/>
  <c r="P98" i="90"/>
  <c r="O98" i="90"/>
  <c r="N98" i="90"/>
  <c r="M98" i="90"/>
  <c r="L98" i="90"/>
  <c r="E98" i="90"/>
  <c r="D137" i="90" s="1"/>
  <c r="U97" i="90"/>
  <c r="T97" i="90"/>
  <c r="S97" i="90"/>
  <c r="R97" i="90"/>
  <c r="Q97" i="90"/>
  <c r="P97" i="90"/>
  <c r="O97" i="90"/>
  <c r="N97" i="90"/>
  <c r="M97" i="90"/>
  <c r="L97" i="90"/>
  <c r="E97" i="90"/>
  <c r="U96" i="90"/>
  <c r="T96" i="90"/>
  <c r="S96" i="90"/>
  <c r="R96" i="90"/>
  <c r="Q96" i="90"/>
  <c r="P96" i="90"/>
  <c r="O96" i="90"/>
  <c r="N96" i="90"/>
  <c r="M96" i="90"/>
  <c r="L96" i="90"/>
  <c r="E96" i="90"/>
  <c r="U95" i="90"/>
  <c r="T95" i="90"/>
  <c r="S95" i="90"/>
  <c r="R95" i="90"/>
  <c r="Q95" i="90"/>
  <c r="P95" i="90"/>
  <c r="O95" i="90"/>
  <c r="N95" i="90"/>
  <c r="M95" i="90"/>
  <c r="L95" i="90"/>
  <c r="E95" i="90"/>
  <c r="U94" i="90"/>
  <c r="T94" i="90"/>
  <c r="S94" i="90"/>
  <c r="R94" i="90"/>
  <c r="Q94" i="90"/>
  <c r="P94" i="90"/>
  <c r="O94" i="90"/>
  <c r="N94" i="90"/>
  <c r="M94" i="90"/>
  <c r="L94" i="90"/>
  <c r="E94" i="90"/>
  <c r="U93" i="90"/>
  <c r="T93" i="90"/>
  <c r="S93" i="90"/>
  <c r="R93" i="90"/>
  <c r="Q93" i="90"/>
  <c r="P93" i="90"/>
  <c r="O93" i="90"/>
  <c r="N93" i="90"/>
  <c r="M93" i="90"/>
  <c r="L93" i="90"/>
  <c r="E93" i="90"/>
  <c r="U92" i="90"/>
  <c r="T92" i="90"/>
  <c r="S92" i="90"/>
  <c r="R92" i="90"/>
  <c r="Q92" i="90"/>
  <c r="P92" i="90"/>
  <c r="O92" i="90"/>
  <c r="N92" i="90"/>
  <c r="M92" i="90"/>
  <c r="L92" i="90"/>
  <c r="E92" i="90"/>
  <c r="U91" i="90"/>
  <c r="U117" i="90" s="1"/>
  <c r="T91" i="90"/>
  <c r="T117" i="90" s="1"/>
  <c r="S91" i="90"/>
  <c r="R91" i="90"/>
  <c r="Q91" i="90"/>
  <c r="B65" i="90" s="1"/>
  <c r="P91" i="90"/>
  <c r="P117" i="90" s="1"/>
  <c r="O91" i="90"/>
  <c r="O117" i="90" s="1"/>
  <c r="N91" i="90"/>
  <c r="N117" i="90" s="1"/>
  <c r="M91" i="90"/>
  <c r="M117" i="90" s="1"/>
  <c r="L91" i="90"/>
  <c r="L117" i="90" s="1"/>
  <c r="U88" i="90"/>
  <c r="T88" i="90"/>
  <c r="S88" i="90"/>
  <c r="S116" i="90" s="1"/>
  <c r="S122" i="90" s="1"/>
  <c r="R88" i="90"/>
  <c r="Q88" i="90"/>
  <c r="P88" i="90"/>
  <c r="O88" i="90"/>
  <c r="N88" i="90"/>
  <c r="N85" i="90" s="1"/>
  <c r="M88" i="90"/>
  <c r="L88" i="90"/>
  <c r="L90" i="90" s="1"/>
  <c r="U85" i="90"/>
  <c r="U116" i="90" s="1"/>
  <c r="U122" i="90" s="1"/>
  <c r="T85" i="90"/>
  <c r="S85" i="90"/>
  <c r="R85" i="90"/>
  <c r="R116" i="90" s="1"/>
  <c r="R122" i="90" s="1"/>
  <c r="Q85" i="90"/>
  <c r="P85" i="90"/>
  <c r="O85" i="90"/>
  <c r="M85" i="90"/>
  <c r="M116" i="90" s="1"/>
  <c r="L85" i="90"/>
  <c r="L116" i="90" s="1"/>
  <c r="R80" i="90"/>
  <c r="M80" i="90"/>
  <c r="R79" i="90"/>
  <c r="M79" i="90"/>
  <c r="R78" i="90"/>
  <c r="M78" i="90"/>
  <c r="R77" i="90"/>
  <c r="M77" i="90"/>
  <c r="D77" i="90"/>
  <c r="R76" i="90"/>
  <c r="M76" i="90"/>
  <c r="D76" i="90"/>
  <c r="R75" i="90"/>
  <c r="M75" i="90"/>
  <c r="D75" i="90"/>
  <c r="R74" i="90"/>
  <c r="M74" i="90"/>
  <c r="D74" i="90"/>
  <c r="R73" i="90"/>
  <c r="M73" i="90"/>
  <c r="D73" i="90"/>
  <c r="R72" i="90"/>
  <c r="M72" i="90"/>
  <c r="D72" i="90"/>
  <c r="R71" i="90"/>
  <c r="M71" i="90"/>
  <c r="D71" i="90"/>
  <c r="R70" i="90"/>
  <c r="D70" i="90"/>
  <c r="B68" i="90"/>
  <c r="B66" i="90"/>
  <c r="B64" i="90"/>
  <c r="B60" i="90"/>
  <c r="B59" i="90"/>
  <c r="T49" i="90"/>
  <c r="U49" i="90" s="1"/>
  <c r="S49" i="90"/>
  <c r="R49" i="90"/>
  <c r="P49" i="90"/>
  <c r="Q49" i="90" s="1"/>
  <c r="N49" i="90"/>
  <c r="O49" i="90" s="1"/>
  <c r="L49" i="90"/>
  <c r="M49" i="90" s="1"/>
  <c r="K48" i="90"/>
  <c r="F48" i="90"/>
  <c r="K47" i="90"/>
  <c r="F47" i="90"/>
  <c r="K46" i="90"/>
  <c r="F46" i="90"/>
  <c r="K45" i="90"/>
  <c r="F45" i="90"/>
  <c r="F44" i="90"/>
  <c r="F43" i="90"/>
  <c r="F42" i="90"/>
  <c r="I42" i="90"/>
  <c r="I41" i="90"/>
  <c r="K41" i="90" s="1"/>
  <c r="C36" i="90"/>
  <c r="B36" i="90"/>
  <c r="C35" i="90"/>
  <c r="B35" i="90"/>
  <c r="C34" i="90"/>
  <c r="B34" i="90"/>
  <c r="C33" i="90"/>
  <c r="B33" i="90"/>
  <c r="C32" i="90"/>
  <c r="B32" i="90"/>
  <c r="C31" i="90"/>
  <c r="B31" i="90"/>
  <c r="C30" i="90"/>
  <c r="B30" i="90"/>
  <c r="C29" i="90"/>
  <c r="B29" i="90"/>
  <c r="C28" i="90"/>
  <c r="B28" i="90"/>
  <c r="C27" i="90"/>
  <c r="B27" i="90"/>
  <c r="C26" i="90"/>
  <c r="B26" i="90"/>
  <c r="C25" i="90"/>
  <c r="B25" i="90"/>
  <c r="C24" i="90"/>
  <c r="D24" i="90" s="1"/>
  <c r="B24" i="90"/>
  <c r="E24" i="90" s="1"/>
  <c r="C15" i="90"/>
  <c r="B15" i="90"/>
  <c r="C14" i="90"/>
  <c r="B14" i="90"/>
  <c r="C13" i="90"/>
  <c r="B13" i="90"/>
  <c r="C12" i="90"/>
  <c r="B12" i="90"/>
  <c r="C11" i="90"/>
  <c r="B11" i="90"/>
  <c r="C10" i="90"/>
  <c r="B10" i="90"/>
  <c r="C9" i="90"/>
  <c r="B9" i="90"/>
  <c r="C8" i="90"/>
  <c r="B8" i="90"/>
  <c r="C7" i="90"/>
  <c r="B7" i="90"/>
  <c r="R42" i="90" s="1"/>
  <c r="S42" i="90" s="1"/>
  <c r="C6" i="90"/>
  <c r="B6" i="90"/>
  <c r="P42" i="90" s="1"/>
  <c r="Q42" i="90" s="1"/>
  <c r="C5" i="90"/>
  <c r="B5" i="90"/>
  <c r="N42" i="90" s="1"/>
  <c r="O42" i="90" s="1"/>
  <c r="C4" i="90"/>
  <c r="B4" i="90"/>
  <c r="L42" i="90" s="1"/>
  <c r="M42" i="90" s="1"/>
  <c r="C3" i="90"/>
  <c r="D3" i="90" s="1"/>
  <c r="B3" i="90"/>
  <c r="E3" i="90" s="1"/>
  <c r="O3" i="90" s="1"/>
  <c r="P3" i="90" s="1"/>
  <c r="B61" i="90" l="1"/>
  <c r="D4" i="90"/>
  <c r="D5" i="90" s="1"/>
  <c r="D6" i="90" s="1"/>
  <c r="D7" i="90" s="1"/>
  <c r="B62" i="90"/>
  <c r="T116" i="90"/>
  <c r="T122" i="90" s="1"/>
  <c r="E119" i="90"/>
  <c r="E120" i="90" s="1"/>
  <c r="M24" i="90"/>
  <c r="N24" i="90" s="1"/>
  <c r="B63" i="90"/>
  <c r="O116" i="90"/>
  <c r="Q116" i="90"/>
  <c r="Q122" i="90" s="1"/>
  <c r="D8" i="90"/>
  <c r="K3" i="90"/>
  <c r="L3" i="90" s="1"/>
  <c r="P90" i="90"/>
  <c r="Q90" i="90" s="1"/>
  <c r="R90" i="90" s="1"/>
  <c r="S90" i="90" s="1"/>
  <c r="T90" i="90" s="1"/>
  <c r="U90" i="90" s="1"/>
  <c r="E4" i="90"/>
  <c r="M3" i="90"/>
  <c r="N3" i="90" s="1"/>
  <c r="N116" i="90"/>
  <c r="E25" i="90"/>
  <c r="F41" i="90"/>
  <c r="F50" i="90" s="1"/>
  <c r="F51" i="90" s="1"/>
  <c r="D78" i="90"/>
  <c r="D25" i="90"/>
  <c r="K24" i="90"/>
  <c r="L24" i="90" s="1"/>
  <c r="M90" i="90"/>
  <c r="N90" i="90" s="1"/>
  <c r="O90" i="90" s="1"/>
  <c r="S117" i="90"/>
  <c r="B67" i="90"/>
  <c r="Q117" i="90"/>
  <c r="B69" i="90"/>
  <c r="V49" i="90"/>
  <c r="P116" i="90"/>
  <c r="K119" i="90" l="1"/>
  <c r="K120" i="90" s="1"/>
  <c r="K122" i="90" s="1"/>
  <c r="D26" i="90"/>
  <c r="W49" i="90"/>
  <c r="X49" i="90"/>
  <c r="E26" i="90"/>
  <c r="M25" i="90"/>
  <c r="N25" i="90" s="1"/>
  <c r="L48" i="90" s="1"/>
  <c r="M48" i="90" s="1"/>
  <c r="K25" i="90"/>
  <c r="L25" i="90" s="1"/>
  <c r="L47" i="90" s="1"/>
  <c r="M47" i="90" s="1"/>
  <c r="D79" i="90"/>
  <c r="E5" i="90"/>
  <c r="O4" i="90"/>
  <c r="P4" i="90" s="1"/>
  <c r="L44" i="90" s="1"/>
  <c r="M4" i="90"/>
  <c r="N4" i="90" s="1"/>
  <c r="K4" i="90"/>
  <c r="L4" i="90" s="1"/>
  <c r="D9" i="90"/>
  <c r="E27" i="90" l="1"/>
  <c r="D80" i="90"/>
  <c r="M26" i="90"/>
  <c r="N26" i="90" s="1"/>
  <c r="N48" i="90" s="1"/>
  <c r="O48" i="90" s="1"/>
  <c r="K26" i="90"/>
  <c r="L26" i="90" s="1"/>
  <c r="N47" i="90" s="1"/>
  <c r="O47" i="90" s="1"/>
  <c r="L41" i="90"/>
  <c r="M41" i="90" s="1"/>
  <c r="L43" i="90"/>
  <c r="Z49" i="90"/>
  <c r="Y49" i="90"/>
  <c r="D10" i="90"/>
  <c r="O5" i="90"/>
  <c r="P5" i="90" s="1"/>
  <c r="N44" i="90" s="1"/>
  <c r="E6" i="90"/>
  <c r="M5" i="90"/>
  <c r="N5" i="90" s="1"/>
  <c r="K5" i="90"/>
  <c r="L5" i="90" s="1"/>
  <c r="L119" i="90"/>
  <c r="L120" i="90" s="1"/>
  <c r="L122" i="90" s="1"/>
  <c r="D27" i="90"/>
  <c r="M44" i="90"/>
  <c r="L46" i="90"/>
  <c r="M46" i="90" s="1"/>
  <c r="E28" i="90" l="1"/>
  <c r="M27" i="90"/>
  <c r="N27" i="90" s="1"/>
  <c r="P48" i="90" s="1"/>
  <c r="Q48" i="90" s="1"/>
  <c r="K27" i="90"/>
  <c r="L27" i="90" s="1"/>
  <c r="P47" i="90" s="1"/>
  <c r="Q47" i="90" s="1"/>
  <c r="M119" i="90"/>
  <c r="M120" i="90" s="1"/>
  <c r="M122" i="90" s="1"/>
  <c r="D28" i="90"/>
  <c r="AA49" i="90"/>
  <c r="AB49" i="90"/>
  <c r="M43" i="90"/>
  <c r="M50" i="90" s="1"/>
  <c r="D59" i="90" s="1"/>
  <c r="L45" i="90"/>
  <c r="M45" i="90" s="1"/>
  <c r="O6" i="90"/>
  <c r="P6" i="90" s="1"/>
  <c r="P44" i="90" s="1"/>
  <c r="E7" i="90"/>
  <c r="M6" i="90"/>
  <c r="N6" i="90" s="1"/>
  <c r="K6" i="90"/>
  <c r="L6" i="90" s="1"/>
  <c r="P41" i="90" s="1"/>
  <c r="D11" i="90"/>
  <c r="N41" i="90"/>
  <c r="O41" i="90" s="1"/>
  <c r="O50" i="90" s="1"/>
  <c r="D60" i="90" s="1"/>
  <c r="N43" i="90"/>
  <c r="O44" i="90"/>
  <c r="N46" i="90"/>
  <c r="O46" i="90" s="1"/>
  <c r="AC49" i="90" l="1"/>
  <c r="AD49" i="90"/>
  <c r="E8" i="90"/>
  <c r="O7" i="90"/>
  <c r="P7" i="90" s="1"/>
  <c r="R44" i="90" s="1"/>
  <c r="M7" i="90"/>
  <c r="N7" i="90" s="1"/>
  <c r="K7" i="90"/>
  <c r="L7" i="90" s="1"/>
  <c r="R41" i="90" s="1"/>
  <c r="E29" i="90"/>
  <c r="M28" i="90"/>
  <c r="N28" i="90" s="1"/>
  <c r="R48" i="90" s="1"/>
  <c r="S48" i="90" s="1"/>
  <c r="K28" i="90"/>
  <c r="L28" i="90" s="1"/>
  <c r="R47" i="90" s="1"/>
  <c r="S47" i="90" s="1"/>
  <c r="Q44" i="90"/>
  <c r="P46" i="90"/>
  <c r="Q46" i="90" s="1"/>
  <c r="D29" i="90"/>
  <c r="N119" i="90"/>
  <c r="N120" i="90" s="1"/>
  <c r="N122" i="90" s="1"/>
  <c r="P43" i="90"/>
  <c r="Q41" i="90"/>
  <c r="Q50" i="90" s="1"/>
  <c r="D61" i="90" s="1"/>
  <c r="O43" i="90"/>
  <c r="N45" i="90"/>
  <c r="O45" i="90" s="1"/>
  <c r="D12" i="90"/>
  <c r="T42" i="90" l="1"/>
  <c r="U42" i="90" s="1"/>
  <c r="M8" i="90"/>
  <c r="N8" i="90" s="1"/>
  <c r="E9" i="90"/>
  <c r="O8" i="90"/>
  <c r="P8" i="90" s="1"/>
  <c r="T44" i="90" s="1"/>
  <c r="K8" i="90"/>
  <c r="L8" i="90" s="1"/>
  <c r="T41" i="90" s="1"/>
  <c r="Q43" i="90"/>
  <c r="P45" i="90"/>
  <c r="Q45" i="90" s="1"/>
  <c r="R43" i="90"/>
  <c r="S41" i="90"/>
  <c r="S50" i="90" s="1"/>
  <c r="D62" i="90" s="1"/>
  <c r="D13" i="90"/>
  <c r="S44" i="90"/>
  <c r="R46" i="90"/>
  <c r="S46" i="90" s="1"/>
  <c r="D30" i="90"/>
  <c r="O119" i="90"/>
  <c r="O120" i="90" s="1"/>
  <c r="O122" i="90" s="1"/>
  <c r="AE49" i="90"/>
  <c r="AF49" i="90"/>
  <c r="AG49" i="90" s="1"/>
  <c r="E30" i="90"/>
  <c r="K29" i="90"/>
  <c r="L29" i="90" s="1"/>
  <c r="T47" i="90" s="1"/>
  <c r="U47" i="90" s="1"/>
  <c r="M29" i="90"/>
  <c r="N29" i="90" s="1"/>
  <c r="T48" i="90" s="1"/>
  <c r="U48" i="90" s="1"/>
  <c r="D14" i="90" l="1"/>
  <c r="U41" i="90"/>
  <c r="U50" i="90" s="1"/>
  <c r="D63" i="90" s="1"/>
  <c r="T43" i="90"/>
  <c r="P119" i="90"/>
  <c r="P120" i="90" s="1"/>
  <c r="P122" i="90" s="1"/>
  <c r="D31" i="90"/>
  <c r="D32" i="90" s="1"/>
  <c r="D33" i="90" s="1"/>
  <c r="D34" i="90" s="1"/>
  <c r="D35" i="90" s="1"/>
  <c r="U44" i="90"/>
  <c r="T46" i="90"/>
  <c r="U46" i="90" s="1"/>
  <c r="O9" i="90"/>
  <c r="P9" i="90" s="1"/>
  <c r="V44" i="90" s="1"/>
  <c r="M9" i="90"/>
  <c r="N9" i="90" s="1"/>
  <c r="V42" i="90"/>
  <c r="W42" i="90" s="1"/>
  <c r="E10" i="90"/>
  <c r="K9" i="90"/>
  <c r="L9" i="90" s="1"/>
  <c r="V41" i="90" s="1"/>
  <c r="S43" i="90"/>
  <c r="R45" i="90"/>
  <c r="S45" i="90" s="1"/>
  <c r="E31" i="90"/>
  <c r="K30" i="90"/>
  <c r="L30" i="90" s="1"/>
  <c r="V47" i="90" s="1"/>
  <c r="W47" i="90" s="1"/>
  <c r="M30" i="90"/>
  <c r="N30" i="90" s="1"/>
  <c r="V48" i="90" s="1"/>
  <c r="W48" i="90" s="1"/>
  <c r="W41" i="90" l="1"/>
  <c r="W50" i="90" s="1"/>
  <c r="D64" i="90" s="1"/>
  <c r="V43" i="90"/>
  <c r="U43" i="90"/>
  <c r="T45" i="90"/>
  <c r="U45" i="90" s="1"/>
  <c r="W44" i="90"/>
  <c r="V46" i="90"/>
  <c r="W46" i="90" s="1"/>
  <c r="E11" i="90"/>
  <c r="O10" i="90"/>
  <c r="P10" i="90" s="1"/>
  <c r="X44" i="90" s="1"/>
  <c r="X42" i="90"/>
  <c r="Y42" i="90" s="1"/>
  <c r="M10" i="90"/>
  <c r="N10" i="90" s="1"/>
  <c r="K10" i="90"/>
  <c r="L10" i="90" s="1"/>
  <c r="X41" i="90" s="1"/>
  <c r="E32" i="90"/>
  <c r="M31" i="90"/>
  <c r="N31" i="90" s="1"/>
  <c r="X48" i="90" s="1"/>
  <c r="Y48" i="90" s="1"/>
  <c r="K31" i="90"/>
  <c r="L31" i="90" s="1"/>
  <c r="X47" i="90" s="1"/>
  <c r="Y47" i="90" s="1"/>
  <c r="W43" i="90" l="1"/>
  <c r="V45" i="90"/>
  <c r="W45" i="90" s="1"/>
  <c r="Y41" i="90"/>
  <c r="Y50" i="90" s="1"/>
  <c r="D65" i="90" s="1"/>
  <c r="X43" i="90"/>
  <c r="Y44" i="90"/>
  <c r="X46" i="90"/>
  <c r="Y46" i="90" s="1"/>
  <c r="E12" i="90"/>
  <c r="O11" i="90"/>
  <c r="P11" i="90" s="1"/>
  <c r="Z44" i="90" s="1"/>
  <c r="Z42" i="90"/>
  <c r="AA42" i="90" s="1"/>
  <c r="M11" i="90"/>
  <c r="N11" i="90" s="1"/>
  <c r="K11" i="90"/>
  <c r="L11" i="90" s="1"/>
  <c r="Z41" i="90" s="1"/>
  <c r="E33" i="90"/>
  <c r="M32" i="90"/>
  <c r="N32" i="90" s="1"/>
  <c r="Z48" i="90" s="1"/>
  <c r="AA48" i="90" s="1"/>
  <c r="K32" i="90"/>
  <c r="L32" i="90" s="1"/>
  <c r="Z47" i="90" s="1"/>
  <c r="AA47" i="90" s="1"/>
  <c r="AA44" i="90" l="1"/>
  <c r="Z46" i="90"/>
  <c r="AA46" i="90" s="1"/>
  <c r="O12" i="90"/>
  <c r="P12" i="90" s="1"/>
  <c r="AB44" i="90" s="1"/>
  <c r="AB42" i="90"/>
  <c r="AC42" i="90" s="1"/>
  <c r="M12" i="90"/>
  <c r="N12" i="90" s="1"/>
  <c r="E13" i="90"/>
  <c r="K12" i="90"/>
  <c r="L12" i="90" s="1"/>
  <c r="AB41" i="90" s="1"/>
  <c r="X45" i="90"/>
  <c r="Y45" i="90" s="1"/>
  <c r="Y43" i="90"/>
  <c r="Z43" i="90"/>
  <c r="AA41" i="90"/>
  <c r="AA50" i="90" s="1"/>
  <c r="D66" i="90" s="1"/>
  <c r="E34" i="90"/>
  <c r="M33" i="90"/>
  <c r="N33" i="90" s="1"/>
  <c r="AB48" i="90" s="1"/>
  <c r="AC48" i="90" s="1"/>
  <c r="K33" i="90"/>
  <c r="L33" i="90" s="1"/>
  <c r="AB47" i="90" s="1"/>
  <c r="AC47" i="90" s="1"/>
  <c r="AC44" i="90" l="1"/>
  <c r="AB46" i="90"/>
  <c r="AC46" i="90" s="1"/>
  <c r="AC41" i="90"/>
  <c r="AC50" i="90" s="1"/>
  <c r="D67" i="90" s="1"/>
  <c r="AB43" i="90"/>
  <c r="AA43" i="90"/>
  <c r="Z45" i="90"/>
  <c r="AA45" i="90" s="1"/>
  <c r="E35" i="90"/>
  <c r="M34" i="90"/>
  <c r="N34" i="90" s="1"/>
  <c r="AD48" i="90" s="1"/>
  <c r="AE48" i="90" s="1"/>
  <c r="K34" i="90"/>
  <c r="L34" i="90" s="1"/>
  <c r="AD47" i="90" s="1"/>
  <c r="AE47" i="90" s="1"/>
  <c r="AD42" i="90"/>
  <c r="AE42" i="90" s="1"/>
  <c r="O13" i="90"/>
  <c r="P13" i="90" s="1"/>
  <c r="AD44" i="90" s="1"/>
  <c r="M13" i="90"/>
  <c r="N13" i="90" s="1"/>
  <c r="E14" i="90"/>
  <c r="K13" i="90"/>
  <c r="L13" i="90" s="1"/>
  <c r="AD41" i="90" s="1"/>
  <c r="AD46" i="90" l="1"/>
  <c r="AE46" i="90" s="1"/>
  <c r="AE44" i="90"/>
  <c r="M35" i="90"/>
  <c r="N35" i="90" s="1"/>
  <c r="AF48" i="90" s="1"/>
  <c r="AG48" i="90" s="1"/>
  <c r="K35" i="90"/>
  <c r="L35" i="90" s="1"/>
  <c r="AF47" i="90" s="1"/>
  <c r="AG47" i="90" s="1"/>
  <c r="AE41" i="90"/>
  <c r="AE50" i="90" s="1"/>
  <c r="D68" i="90" s="1"/>
  <c r="AD43" i="90"/>
  <c r="O14" i="90"/>
  <c r="P14" i="90" s="1"/>
  <c r="AF44" i="90" s="1"/>
  <c r="M14" i="90"/>
  <c r="N14" i="90" s="1"/>
  <c r="AF42" i="90"/>
  <c r="AG42" i="90" s="1"/>
  <c r="K14" i="90"/>
  <c r="L14" i="90" s="1"/>
  <c r="AF41" i="90" s="1"/>
  <c r="AC43" i="90"/>
  <c r="AB45" i="90"/>
  <c r="AC45" i="90" s="1"/>
  <c r="AF43" i="90" l="1"/>
  <c r="AG41" i="90"/>
  <c r="AG50" i="90" s="1"/>
  <c r="D69" i="90" s="1"/>
  <c r="AE43" i="90"/>
  <c r="AD45" i="90"/>
  <c r="AE45" i="90" s="1"/>
  <c r="AG44" i="90"/>
  <c r="AF46" i="90"/>
  <c r="AG46" i="90" s="1"/>
  <c r="AG43" i="90" l="1"/>
  <c r="AF45" i="90"/>
  <c r="AG45" i="90" s="1"/>
  <c r="D125" i="88" l="1"/>
  <c r="D124" i="88"/>
  <c r="C124" i="88"/>
  <c r="E124" i="88" s="1"/>
  <c r="D123" i="88"/>
  <c r="D122" i="88"/>
  <c r="C122" i="88"/>
  <c r="E122" i="88" s="1"/>
  <c r="D121" i="88"/>
  <c r="C121" i="88"/>
  <c r="D120" i="88"/>
  <c r="D119" i="88"/>
  <c r="C119" i="88"/>
  <c r="D118" i="88"/>
  <c r="D117" i="88"/>
  <c r="D116" i="88"/>
  <c r="E116" i="88" s="1"/>
  <c r="C116" i="88"/>
  <c r="D110" i="88"/>
  <c r="C106" i="88"/>
  <c r="D106" i="88" s="1"/>
  <c r="D101" i="88"/>
  <c r="C97" i="88"/>
  <c r="D97" i="88" s="1"/>
  <c r="B91" i="88"/>
  <c r="B90" i="88"/>
  <c r="B89" i="88"/>
  <c r="B88" i="88"/>
  <c r="F41" i="88"/>
  <c r="I41" i="88" s="1"/>
  <c r="E41" i="88"/>
  <c r="G41" i="88" s="1"/>
  <c r="I40" i="88"/>
  <c r="G40" i="88"/>
  <c r="F39" i="88"/>
  <c r="E39" i="88"/>
  <c r="C39" i="88"/>
  <c r="I38" i="88"/>
  <c r="G38" i="88"/>
  <c r="G37" i="88"/>
  <c r="F37" i="88"/>
  <c r="I37" i="88" s="1"/>
  <c r="F36" i="88"/>
  <c r="C36" i="88"/>
  <c r="J32" i="88"/>
  <c r="C118" i="88" s="1"/>
  <c r="E118" i="88" s="1"/>
  <c r="I20" i="88"/>
  <c r="G20" i="88"/>
  <c r="I12" i="88"/>
  <c r="C33" i="31"/>
  <c r="C128" i="90" s="1"/>
  <c r="D132" i="90" s="1"/>
  <c r="G21" i="31"/>
  <c r="J20" i="31"/>
  <c r="J18" i="31"/>
  <c r="J13" i="31"/>
  <c r="G13" i="31"/>
  <c r="I21" i="31" s="1"/>
  <c r="E85" i="90" l="1"/>
  <c r="D133" i="90"/>
  <c r="I19" i="31"/>
  <c r="J19" i="31" s="1"/>
  <c r="E119" i="88"/>
  <c r="E121" i="88"/>
  <c r="I36" i="88"/>
  <c r="G39" i="88"/>
  <c r="G36" i="88"/>
  <c r="I39" i="88"/>
  <c r="C120" i="88" s="1"/>
  <c r="E120" i="88" s="1"/>
  <c r="D105" i="88"/>
  <c r="E108" i="88" s="1"/>
  <c r="C117" i="88"/>
  <c r="E117" i="88" s="1"/>
  <c r="C125" i="88"/>
  <c r="E125" i="88" s="1"/>
  <c r="C123" i="88"/>
  <c r="E123" i="88" s="1"/>
  <c r="D96" i="88"/>
  <c r="D98" i="88" s="1"/>
  <c r="J21" i="31"/>
  <c r="I13" i="31"/>
  <c r="J33" i="31" l="1"/>
  <c r="D134" i="90"/>
  <c r="F144" i="90" s="1"/>
  <c r="B57" i="90"/>
  <c r="E91" i="90"/>
  <c r="E117" i="90" s="1"/>
  <c r="E116" i="90"/>
  <c r="E102" i="90"/>
  <c r="E126" i="88"/>
  <c r="J13" i="51"/>
  <c r="C57" i="90" l="1"/>
  <c r="C59" i="90"/>
  <c r="E118" i="90"/>
  <c r="K118" i="90" s="1"/>
  <c r="L118" i="90" s="1"/>
  <c r="M118" i="90" s="1"/>
  <c r="N118" i="90" s="1"/>
  <c r="O118" i="90" s="1"/>
  <c r="P118" i="90" s="1"/>
  <c r="Q118" i="90" s="1"/>
  <c r="R118" i="90" s="1"/>
  <c r="S118" i="90" s="1"/>
  <c r="T118" i="90" s="1"/>
  <c r="U118" i="90" s="1"/>
  <c r="E122" i="90"/>
  <c r="D42" i="33"/>
  <c r="D13" i="91"/>
  <c r="D14" i="91" s="1"/>
  <c r="E14" i="91" s="1"/>
  <c r="F14" i="91" s="1"/>
  <c r="J42" i="90"/>
  <c r="K42" i="90" s="1"/>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E47" i="31"/>
  <c r="C9" i="31"/>
  <c r="C9" i="51"/>
  <c r="C34" i="82"/>
  <c r="C25" i="82"/>
  <c r="C9" i="82"/>
  <c r="C11" i="82" s="1"/>
  <c r="C13" i="82" s="1"/>
  <c r="C19" i="82"/>
  <c r="C60" i="90" l="1"/>
  <c r="K59" i="90"/>
  <c r="E59" i="90"/>
  <c r="E110" i="90"/>
  <c r="G57" i="90"/>
  <c r="D135" i="90" s="1"/>
  <c r="E57" i="90"/>
  <c r="E27" i="85"/>
  <c r="H12" i="85" s="1"/>
  <c r="C23" i="82"/>
  <c r="C17" i="82"/>
  <c r="C22" i="82" s="1"/>
  <c r="C16" i="82"/>
  <c r="C18" i="82" s="1"/>
  <c r="C20" i="82" s="1"/>
  <c r="C27" i="82" s="1"/>
  <c r="F141" i="90" l="1"/>
  <c r="D136" i="90"/>
  <c r="E112" i="90"/>
  <c r="E111" i="90"/>
  <c r="K60" i="90"/>
  <c r="L110" i="90"/>
  <c r="E60" i="90"/>
  <c r="C61" i="90"/>
  <c r="C24" i="82"/>
  <c r="C26" i="82" s="1"/>
  <c r="C29" i="82"/>
  <c r="C28" i="82"/>
  <c r="C30" i="82" s="1"/>
  <c r="C36" i="82" s="1"/>
  <c r="C35" i="82"/>
  <c r="C31" i="82"/>
  <c r="C62" i="90" l="1"/>
  <c r="K61" i="90"/>
  <c r="M110" i="90"/>
  <c r="E61" i="90"/>
  <c r="L111" i="90"/>
  <c r="L112" i="90"/>
  <c r="L113" i="90" s="1"/>
  <c r="L105" i="90" s="1"/>
  <c r="L107" i="90" s="1"/>
  <c r="F139" i="90"/>
  <c r="F142" i="90" s="1"/>
  <c r="F140" i="90"/>
  <c r="F143" i="90" s="1"/>
  <c r="C32" i="82"/>
  <c r="C33" i="82" s="1"/>
  <c r="C37" i="82" s="1"/>
  <c r="M111" i="90" l="1"/>
  <c r="M112" i="90"/>
  <c r="M113" i="90" s="1"/>
  <c r="M105" i="90" s="1"/>
  <c r="M107" i="90" s="1"/>
  <c r="K62" i="90"/>
  <c r="E62" i="90"/>
  <c r="N110" i="90"/>
  <c r="C63" i="90"/>
  <c r="G13" i="51"/>
  <c r="I19" i="51" s="1"/>
  <c r="E5" i="78"/>
  <c r="C6" i="77" s="1"/>
  <c r="E7" i="78"/>
  <c r="C8" i="77" s="1"/>
  <c r="C18" i="77" s="1"/>
  <c r="E21" i="78"/>
  <c r="K63" i="90" l="1"/>
  <c r="O110" i="90"/>
  <c r="E63" i="90"/>
  <c r="C64" i="90"/>
  <c r="N112" i="90"/>
  <c r="N113" i="90" s="1"/>
  <c r="N105" i="90" s="1"/>
  <c r="N107" i="90" s="1"/>
  <c r="N111" i="90"/>
  <c r="E19" i="78"/>
  <c r="E17" i="78"/>
  <c r="E15" i="78"/>
  <c r="G15" i="78" s="1"/>
  <c r="E25" i="78"/>
  <c r="C10" i="77"/>
  <c r="C23" i="77" s="1"/>
  <c r="C25" i="77" s="1"/>
  <c r="C21" i="77"/>
  <c r="D14" i="77"/>
  <c r="E13" i="78"/>
  <c r="G13" i="78"/>
  <c r="E23" i="78"/>
  <c r="G17" i="78"/>
  <c r="C16" i="77"/>
  <c r="D16" i="77" s="1"/>
  <c r="D18" i="77"/>
  <c r="C14" i="77"/>
  <c r="E64" i="90" l="1"/>
  <c r="P110" i="90"/>
  <c r="C65" i="90"/>
  <c r="K64" i="90"/>
  <c r="O111" i="90"/>
  <c r="O112" i="90"/>
  <c r="O113" i="90" s="1"/>
  <c r="O105" i="90" s="1"/>
  <c r="O107" i="90" s="1"/>
  <c r="H16" i="77"/>
  <c r="E28" i="78"/>
  <c r="C27" i="77"/>
  <c r="H13" i="78"/>
  <c r="C29" i="77"/>
  <c r="P111" i="90" l="1"/>
  <c r="P112" i="90"/>
  <c r="P113" i="90" s="1"/>
  <c r="P105" i="90" s="1"/>
  <c r="P107" i="90" s="1"/>
  <c r="Q110" i="90"/>
  <c r="K65" i="90"/>
  <c r="E65" i="90"/>
  <c r="C66" i="90"/>
  <c r="E75" i="5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46" i="65" s="1"/>
  <c r="C39" i="65"/>
  <c r="F27" i="65"/>
  <c r="C16" i="65"/>
  <c r="C11" i="65"/>
  <c r="E7" i="65"/>
  <c r="E5" i="65"/>
  <c r="C14" i="65"/>
  <c r="C45" i="65"/>
  <c r="Q111" i="90" l="1"/>
  <c r="Q112" i="90"/>
  <c r="Q113" i="90" s="1"/>
  <c r="Q105" i="90" s="1"/>
  <c r="Q107" i="90" s="1"/>
  <c r="K66" i="90"/>
  <c r="R110" i="90"/>
  <c r="C67" i="90"/>
  <c r="E66" i="90"/>
  <c r="C44" i="65"/>
  <c r="C57" i="65" s="1"/>
  <c r="E51" i="24"/>
  <c r="C52" i="65"/>
  <c r="F28" i="65"/>
  <c r="G27" i="65"/>
  <c r="C15" i="65"/>
  <c r="C54" i="65"/>
  <c r="C55" i="65"/>
  <c r="C13" i="65"/>
  <c r="G32" i="65" s="1"/>
  <c r="C53" i="65"/>
  <c r="C58" i="65"/>
  <c r="R112" i="90" l="1"/>
  <c r="R113" i="90" s="1"/>
  <c r="R105" i="90" s="1"/>
  <c r="R107" i="90" s="1"/>
  <c r="R111" i="90"/>
  <c r="E67" i="90"/>
  <c r="C68" i="90"/>
  <c r="S110" i="90"/>
  <c r="K67" i="90"/>
  <c r="C56" i="65"/>
  <c r="C47" i="65"/>
  <c r="C61" i="65" s="1"/>
  <c r="C59" i="65"/>
  <c r="G28" i="65"/>
  <c r="F29" i="65"/>
  <c r="G29" i="65" s="1"/>
  <c r="K68" i="90" l="1"/>
  <c r="C69" i="90"/>
  <c r="E68" i="90"/>
  <c r="T110" i="90"/>
  <c r="S112" i="90"/>
  <c r="S113" i="90" s="1"/>
  <c r="S105" i="90" s="1"/>
  <c r="S107" i="90" s="1"/>
  <c r="S111" i="90"/>
  <c r="C60" i="65"/>
  <c r="G30" i="65"/>
  <c r="G31" i="65" s="1"/>
  <c r="T111" i="90" l="1"/>
  <c r="T112" i="90"/>
  <c r="T113" i="90" s="1"/>
  <c r="T105" i="90" s="1"/>
  <c r="T107" i="90" s="1"/>
  <c r="K69" i="90"/>
  <c r="M70" i="90" s="1"/>
  <c r="E69" i="90"/>
  <c r="U110" i="90"/>
  <c r="G33" i="65"/>
  <c r="G34" i="65" s="1"/>
  <c r="U112" i="90" l="1"/>
  <c r="U113" i="90" s="1"/>
  <c r="U105" i="90" s="1"/>
  <c r="U107" i="90" s="1"/>
  <c r="U111" i="90"/>
  <c r="G35" i="65"/>
  <c r="G36" i="65"/>
  <c r="G47" i="51" l="1"/>
  <c r="G48" i="51"/>
  <c r="F80" i="51"/>
  <c r="G79" i="51"/>
  <c r="F79" i="51"/>
  <c r="G13" i="67" l="1"/>
  <c r="D75" i="51" l="1"/>
  <c r="E74" i="51"/>
  <c r="D74" i="51"/>
  <c r="E43" i="51"/>
  <c r="D43" i="51"/>
  <c r="E40" i="51"/>
  <c r="D40" i="51"/>
  <c r="D41" i="31"/>
  <c r="E38" i="31"/>
  <c r="D38" i="31"/>
  <c r="E40" i="31"/>
  <c r="D40" i="31"/>
  <c r="E39" i="31"/>
  <c r="D39" i="31"/>
  <c r="G21" i="51"/>
  <c r="E89" i="33" l="1"/>
  <c r="E88" i="33"/>
  <c r="D10" i="51"/>
  <c r="D10" i="31"/>
  <c r="E42" i="31"/>
  <c r="D43" i="31"/>
  <c r="E77" i="51"/>
  <c r="D77" i="51"/>
  <c r="G11" i="31"/>
  <c r="J10" i="31"/>
  <c r="H10" i="31"/>
  <c r="E61" i="31" s="1"/>
  <c r="J9" i="31"/>
  <c r="I9" i="31"/>
  <c r="B9" i="31"/>
  <c r="G8" i="31"/>
  <c r="G7" i="31"/>
  <c r="B7" i="31"/>
  <c r="G6" i="31"/>
  <c r="B6" i="31"/>
  <c r="G5" i="31"/>
  <c r="G4" i="31"/>
  <c r="B4" i="31"/>
  <c r="G3" i="31"/>
  <c r="B3" i="31"/>
  <c r="F75" i="31"/>
  <c r="G11" i="67" s="1"/>
  <c r="G74" i="31"/>
  <c r="F74" i="31"/>
  <c r="G10" i="67" s="1"/>
  <c r="C33" i="51"/>
  <c r="C125" i="33" s="1"/>
  <c r="D129" i="33" s="1"/>
  <c r="G11" i="51"/>
  <c r="J10" i="51"/>
  <c r="H10" i="51"/>
  <c r="E61" i="51" s="1"/>
  <c r="J9" i="51"/>
  <c r="I9" i="51"/>
  <c r="G7" i="51"/>
  <c r="G6" i="51"/>
  <c r="G5" i="51"/>
  <c r="G8" i="51"/>
  <c r="G4" i="51"/>
  <c r="G3" i="51"/>
  <c r="E118" i="55"/>
  <c r="F118" i="55" s="1"/>
  <c r="E117" i="55"/>
  <c r="F117" i="55" s="1"/>
  <c r="D9" i="91" l="1"/>
  <c r="C116" i="31"/>
  <c r="E116" i="31" s="1"/>
  <c r="C115" i="31"/>
  <c r="E115" i="31"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I21" i="51"/>
  <c r="I13" i="51"/>
  <c r="J20" i="51"/>
  <c r="J19" i="51"/>
  <c r="J18" i="51"/>
  <c r="E9" i="91" l="1"/>
  <c r="C38" i="31"/>
  <c r="G17" i="67"/>
  <c r="G8" i="67"/>
  <c r="C43" i="31"/>
  <c r="G43" i="31" s="1"/>
  <c r="C113" i="31" s="1"/>
  <c r="C42" i="31"/>
  <c r="J21" i="51"/>
  <c r="J33" i="51" l="1"/>
  <c r="G20" i="67"/>
  <c r="F9" i="91"/>
  <c r="C126" i="51"/>
  <c r="E126" i="51" s="1"/>
  <c r="C123" i="51"/>
  <c r="E123" i="51" s="1"/>
  <c r="C43" i="51"/>
  <c r="D54" i="51"/>
  <c r="E54" i="51"/>
  <c r="E53" i="51"/>
  <c r="D53" i="51"/>
  <c r="F43" i="31"/>
  <c r="E85" i="33"/>
  <c r="B57" i="33"/>
  <c r="I43" i="90" l="1"/>
  <c r="K43" i="90" s="1"/>
  <c r="I44" i="90"/>
  <c r="D43" i="33"/>
  <c r="B10" i="51"/>
  <c r="G77" i="51"/>
  <c r="C125" i="51" s="1"/>
  <c r="E125" i="51" s="1"/>
  <c r="F77" i="51"/>
  <c r="B10" i="31"/>
  <c r="D15" i="91" s="1"/>
  <c r="D16" i="91" s="1"/>
  <c r="D17" i="91" l="1"/>
  <c r="D18" i="91" s="1"/>
  <c r="E16" i="91"/>
  <c r="C39" i="31"/>
  <c r="B9" i="51"/>
  <c r="B7" i="51"/>
  <c r="B6" i="51"/>
  <c r="B4" i="51"/>
  <c r="B3" i="51"/>
  <c r="E90" i="33"/>
  <c r="D130" i="33" s="1"/>
  <c r="F44" i="33"/>
  <c r="F45" i="33"/>
  <c r="F46" i="33"/>
  <c r="F47" i="33"/>
  <c r="D67" i="31"/>
  <c r="D70" i="31" s="1"/>
  <c r="E113" i="31"/>
  <c r="C109" i="31"/>
  <c r="C117" i="31"/>
  <c r="E117" i="31" s="1"/>
  <c r="D66" i="31"/>
  <c r="D68" i="31" s="1"/>
  <c r="D69" i="31" s="1"/>
  <c r="D63" i="31"/>
  <c r="D50" i="31"/>
  <c r="D49" i="31"/>
  <c r="D19" i="91" l="1"/>
  <c r="D20" i="91" s="1"/>
  <c r="D21" i="91" s="1"/>
  <c r="D22" i="91" s="1"/>
  <c r="D24" i="91" s="1"/>
  <c r="D25" i="91" s="1"/>
  <c r="F16" i="91"/>
  <c r="F17" i="91" s="1"/>
  <c r="F18" i="91" s="1"/>
  <c r="E17" i="91"/>
  <c r="E18" i="91" s="1"/>
  <c r="G36" i="67"/>
  <c r="C129" i="51"/>
  <c r="E129" i="51" s="1"/>
  <c r="C128" i="51"/>
  <c r="E128" i="51" s="1"/>
  <c r="C121" i="51"/>
  <c r="E121" i="51" s="1"/>
  <c r="C122" i="51"/>
  <c r="E122" i="51" s="1"/>
  <c r="C120" i="51"/>
  <c r="E120" i="51" s="1"/>
  <c r="C127" i="51"/>
  <c r="E127" i="51" s="1"/>
  <c r="E109" i="31"/>
  <c r="G71" i="31" l="1"/>
  <c r="G70" i="51"/>
  <c r="E20" i="91"/>
  <c r="E21" i="91" s="1"/>
  <c r="E22" i="91" s="1"/>
  <c r="E24" i="91" s="1"/>
  <c r="E25" i="91" s="1"/>
  <c r="E19" i="91"/>
  <c r="F20" i="91"/>
  <c r="F21" i="91" s="1"/>
  <c r="F22" i="91" s="1"/>
  <c r="F24" i="91" s="1"/>
  <c r="F25" i="91" s="1"/>
  <c r="F19" i="91"/>
  <c r="C41" i="31"/>
  <c r="B90" i="31"/>
  <c r="F38" i="31"/>
  <c r="G38" i="31"/>
  <c r="G37" i="67" s="1"/>
  <c r="C110" i="31"/>
  <c r="E110" i="31" s="1"/>
  <c r="C108" i="31"/>
  <c r="E108" i="31" s="1"/>
  <c r="C114" i="31"/>
  <c r="E114" i="31" s="1"/>
  <c r="C111" i="31"/>
  <c r="E111" i="31" s="1"/>
  <c r="G39" i="51"/>
  <c r="G41" i="51"/>
  <c r="G42" i="51"/>
  <c r="F39" i="51"/>
  <c r="F41" i="51"/>
  <c r="F42" i="51"/>
  <c r="F47" i="51"/>
  <c r="F48" i="51"/>
  <c r="F55" i="51"/>
  <c r="F56" i="51"/>
  <c r="F70" i="51"/>
  <c r="D65" i="51"/>
  <c r="D66" i="51"/>
  <c r="D69" i="51" s="1"/>
  <c r="D62" i="51"/>
  <c r="E55" i="51"/>
  <c r="G55" i="51" s="1"/>
  <c r="E56" i="51"/>
  <c r="G56" i="51" s="1"/>
  <c r="G76" i="51"/>
  <c r="E51" i="31" l="1"/>
  <c r="G31" i="67"/>
  <c r="G19" i="67"/>
  <c r="D68" i="51"/>
  <c r="D67" i="51"/>
  <c r="D52" i="51"/>
  <c r="D41" i="33" s="1"/>
  <c r="D76" i="51"/>
  <c r="F76" i="51" s="1"/>
  <c r="D51" i="51"/>
  <c r="D40" i="33" s="1"/>
  <c r="C110" i="51"/>
  <c r="C101" i="51"/>
  <c r="C57" i="33" l="1"/>
  <c r="E57" i="33" l="1"/>
  <c r="D51" i="31"/>
  <c r="C74" i="51"/>
  <c r="C40" i="51"/>
  <c r="C44" i="51"/>
  <c r="C61" i="51"/>
  <c r="C75" i="51"/>
  <c r="B94" i="51"/>
  <c r="C49" i="51"/>
  <c r="G49" i="51" s="1"/>
  <c r="C58" i="51"/>
  <c r="G58" i="51" s="1"/>
  <c r="E52" i="31"/>
  <c r="C53" i="51"/>
  <c r="C52" i="51"/>
  <c r="C51" i="51"/>
  <c r="C37" i="51"/>
  <c r="G37" i="51" s="1"/>
  <c r="C54" i="51"/>
  <c r="D109" i="51"/>
  <c r="D100" i="51"/>
  <c r="C49" i="67" l="1"/>
  <c r="E91" i="33"/>
  <c r="D131" i="33"/>
  <c r="G57" i="33"/>
  <c r="F44" i="51"/>
  <c r="G44" i="51"/>
  <c r="G40" i="51"/>
  <c r="F40" i="51"/>
  <c r="C71" i="51"/>
  <c r="B93" i="51" s="1"/>
  <c r="G43" i="51"/>
  <c r="F43" i="51"/>
  <c r="E43" i="33"/>
  <c r="G54" i="51"/>
  <c r="F54" i="51"/>
  <c r="E40" i="33"/>
  <c r="F40" i="33" s="1"/>
  <c r="G51" i="51"/>
  <c r="F51" i="51"/>
  <c r="E41" i="33"/>
  <c r="F41" i="33" s="1"/>
  <c r="G52" i="51"/>
  <c r="F52" i="51"/>
  <c r="E42" i="33"/>
  <c r="F42" i="33" s="1"/>
  <c r="G53" i="51"/>
  <c r="F53" i="51"/>
  <c r="D52" i="31"/>
  <c r="C62" i="51"/>
  <c r="G61" i="51"/>
  <c r="D101" i="51"/>
  <c r="D102" i="51" s="1"/>
  <c r="D110" i="51"/>
  <c r="D132" i="33" l="1"/>
  <c r="D133" i="33" s="1"/>
  <c r="E86" i="33"/>
  <c r="E49" i="67"/>
  <c r="G49" i="67" s="1"/>
  <c r="J86" i="51"/>
  <c r="F43" i="33"/>
  <c r="F49" i="33" s="1"/>
  <c r="F141" i="33"/>
  <c r="C72" i="31" s="1"/>
  <c r="E98" i="33"/>
  <c r="G62" i="51"/>
  <c r="F62" i="51"/>
  <c r="F50" i="33" l="1"/>
  <c r="E87" i="33"/>
  <c r="F137" i="33"/>
  <c r="F138" i="33"/>
  <c r="C67" i="51" l="1"/>
  <c r="C68" i="5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J44" i="90" s="1"/>
  <c r="K44" i="90" s="1"/>
  <c r="K50" i="90" s="1"/>
  <c r="K51" i="90" s="1"/>
  <c r="D57" i="90" s="1"/>
  <c r="F57" i="90" s="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E95" i="33" s="1"/>
  <c r="D57" i="33"/>
  <c r="F57" i="33" l="1"/>
  <c r="E141" i="33"/>
  <c r="B89" i="31" s="1"/>
  <c r="C68" i="31"/>
  <c r="C69" i="51"/>
  <c r="F69" i="51" s="1"/>
  <c r="E96" i="33" s="1"/>
  <c r="F67" i="51"/>
  <c r="G69" i="31"/>
  <c r="F69" i="31"/>
  <c r="J85" i="51" l="1"/>
  <c r="E94" i="33"/>
  <c r="D71" i="51"/>
  <c r="F71" i="51" s="1"/>
  <c r="E72" i="31"/>
  <c r="F72" i="31" s="1"/>
  <c r="C70" i="31"/>
  <c r="F68" i="31"/>
  <c r="G68" i="31"/>
  <c r="F70" i="31" l="1"/>
  <c r="G70" i="31"/>
  <c r="G42" i="31" l="1"/>
  <c r="F42" i="31"/>
  <c r="F41" i="31"/>
  <c r="G41" i="31"/>
  <c r="G33" i="67" l="1"/>
  <c r="G34" i="67" s="1"/>
  <c r="G38" i="67"/>
  <c r="G39" i="67" s="1"/>
  <c r="C112" i="31"/>
  <c r="E112" i="31" s="1"/>
  <c r="E118" i="31" s="1"/>
  <c r="H34" i="67" l="1"/>
  <c r="C45" i="67" s="1"/>
  <c r="F75" i="51" l="1"/>
  <c r="G75" i="51"/>
  <c r="C124" i="51" s="1"/>
  <c r="F74" i="51"/>
  <c r="G74" i="51"/>
  <c r="E124" i="51" l="1"/>
  <c r="E130" i="51" s="1"/>
  <c r="I34" i="67"/>
  <c r="E45" i="67"/>
  <c r="E99" i="33"/>
  <c r="D134" i="33" s="1"/>
  <c r="F136" i="33" l="1"/>
  <c r="G63" i="51"/>
  <c r="G72" i="51" s="1"/>
  <c r="E47" i="67" s="1"/>
  <c r="G45" i="67"/>
  <c r="C65" i="51" l="1"/>
  <c r="I39" i="67" s="1"/>
  <c r="E48" i="67" s="1"/>
  <c r="C66" i="31"/>
  <c r="H39" i="67" s="1"/>
  <c r="C48" i="67" s="1"/>
  <c r="F139" i="33"/>
  <c r="J90" i="51"/>
  <c r="D114" i="51"/>
  <c r="E112" i="51" s="1"/>
  <c r="F65" i="51"/>
  <c r="E92" i="33" s="1"/>
  <c r="C66" i="51" l="1"/>
  <c r="F66" i="51" s="1"/>
  <c r="G21" i="67" s="1"/>
  <c r="D105" i="51"/>
  <c r="J39" i="67"/>
  <c r="G48" i="67"/>
  <c r="E93" i="33"/>
  <c r="F72" i="51"/>
  <c r="F78" i="51" s="1"/>
  <c r="E46" i="67" l="1"/>
  <c r="J83" i="51"/>
  <c r="I14" i="67" s="1"/>
  <c r="E42" i="67" s="1"/>
  <c r="E97" i="33"/>
  <c r="E100" i="33" s="1"/>
  <c r="J84" i="51" l="1"/>
  <c r="D88" i="51" s="1"/>
  <c r="H11" i="86" s="1"/>
  <c r="J86" i="31"/>
  <c r="D83" i="31" l="1"/>
  <c r="C43" i="67"/>
  <c r="E10" i="86"/>
  <c r="E19" i="86"/>
  <c r="E21" i="86"/>
  <c r="E7" i="86"/>
  <c r="E22" i="86"/>
  <c r="E23" i="86"/>
  <c r="E17" i="86"/>
  <c r="E14" i="86"/>
  <c r="E20" i="86"/>
  <c r="E26" i="86"/>
  <c r="E11" i="86"/>
  <c r="E9" i="86"/>
  <c r="E25" i="86"/>
  <c r="E13" i="86"/>
  <c r="E15" i="86"/>
  <c r="E16" i="86"/>
  <c r="E8" i="86"/>
  <c r="E12" i="86"/>
  <c r="E24" i="86"/>
  <c r="E18" i="86"/>
  <c r="E23" i="24"/>
  <c r="E16" i="24"/>
  <c r="E7" i="24"/>
  <c r="E24" i="24"/>
  <c r="E14" i="24"/>
  <c r="E15" i="24"/>
  <c r="E10" i="24"/>
  <c r="E18" i="24"/>
  <c r="E19" i="24"/>
  <c r="E22" i="24"/>
  <c r="E17" i="24"/>
  <c r="E21" i="24"/>
  <c r="E8" i="24"/>
  <c r="E20" i="24"/>
  <c r="E11" i="24"/>
  <c r="E26" i="24"/>
  <c r="E13" i="24"/>
  <c r="E12" i="24"/>
  <c r="E9" i="24"/>
  <c r="E25" i="24"/>
  <c r="I22" i="67"/>
  <c r="E43" i="67" s="1"/>
  <c r="B95" i="51"/>
  <c r="E27" i="86" l="1"/>
  <c r="H12" i="86" s="1"/>
  <c r="E27" i="24"/>
  <c r="H12" i="24" s="1"/>
  <c r="I28" i="67"/>
  <c r="E44" i="67" s="1"/>
  <c r="F66" i="31"/>
  <c r="C67" i="31"/>
  <c r="F67" i="31" s="1"/>
  <c r="D127" i="31"/>
  <c r="F125" i="31" s="1"/>
  <c r="J79" i="31" s="1"/>
  <c r="F83" i="31" l="1"/>
  <c r="F88" i="51"/>
  <c r="F73" i="31"/>
  <c r="C46" i="67" s="1"/>
  <c r="G46" i="67" s="1"/>
  <c r="H88" i="51" l="1"/>
  <c r="J89" i="51" s="1"/>
  <c r="G25" i="67"/>
  <c r="G28" i="67" s="1"/>
  <c r="C44" i="67" s="1"/>
  <c r="G44" i="67" s="1"/>
  <c r="H22" i="67"/>
  <c r="J78" i="31"/>
  <c r="H14" i="67" s="1"/>
  <c r="C42" i="67" s="1"/>
  <c r="G42" i="67" s="1"/>
  <c r="G18" i="67"/>
  <c r="G22" i="67" s="1"/>
  <c r="G43" i="67" s="1"/>
  <c r="G9" i="67"/>
  <c r="G14" i="67" s="1"/>
  <c r="B91" i="31"/>
  <c r="B92" i="51" l="1"/>
  <c r="H83" i="31"/>
  <c r="H28" i="67"/>
  <c r="B88" i="31" l="1"/>
  <c r="J85" i="31"/>
  <c r="G64" i="31"/>
  <c r="G73" i="31" s="1"/>
  <c r="C47" i="67" l="1"/>
  <c r="G47" i="67" s="1"/>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F23" authorId="0" shapeId="0" xr:uid="{F47BCEE1-F5D4-4954-A328-17B62AAAD5EF}">
      <text>
        <r>
          <rPr>
            <sz val="9"/>
            <color indexed="81"/>
            <rFont val="Tahoma"/>
            <family val="2"/>
          </rPr>
          <t xml:space="preserve">Il faut prendre la limite applicable au mois qui précéde l'arrêt et l'appliquer au 2 autres mois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5" authorId="0" shapeId="0" xr:uid="{8A624157-DF99-4BC5-B659-362818FC9122}">
      <text>
        <r>
          <rPr>
            <sz val="9"/>
            <color indexed="81"/>
            <rFont val="Tahoma"/>
            <family val="2"/>
          </rPr>
          <t xml:space="preserve">Il faut prendre le PMSS du mois précédant l'arrêt
de travail et l'appliquer aux autres mois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96A83921-431B-4878-BDC0-648372FCEAD1}">
      <text>
        <r>
          <rPr>
            <sz val="9"/>
            <color indexed="81"/>
            <rFont val="Tahoma"/>
            <family val="2"/>
          </rPr>
          <t xml:space="preserve">Taux propre à chaque entreprise 
</t>
        </r>
      </text>
    </comment>
    <comment ref="A6" authorId="0" shapeId="0" xr:uid="{1AC4FEBB-01DE-4A42-823F-43A95199AC7A}">
      <text>
        <r>
          <rPr>
            <sz val="9"/>
            <color indexed="81"/>
            <rFont val="Tahoma"/>
            <family val="2"/>
          </rPr>
          <t xml:space="preserve">Taux propre à chaque entreprise
</t>
        </r>
      </text>
    </comment>
    <comment ref="A8" authorId="0" shapeId="0" xr:uid="{559480DD-7C55-40D2-800E-93B966417100}">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E3D15C24-1681-4166-9906-E486EA52B26B}">
      <text>
        <r>
          <rPr>
            <b/>
            <sz val="9"/>
            <color indexed="81"/>
            <rFont val="Tahoma"/>
            <family val="2"/>
          </rPr>
          <t xml:space="preserve"> </t>
        </r>
        <r>
          <rPr>
            <sz val="9"/>
            <color indexed="81"/>
            <rFont val="Tahoma"/>
            <family val="2"/>
          </rPr>
          <t xml:space="preserve">Effectif salariés &lt; 50 </t>
        </r>
      </text>
    </comment>
    <comment ref="A27" authorId="0" shapeId="0" xr:uid="{4CF8652A-EAC9-44CE-8AA8-1E10F2849956}">
      <text>
        <r>
          <rPr>
            <sz val="9"/>
            <color indexed="81"/>
            <rFont val="Tahoma"/>
            <family val="2"/>
          </rPr>
          <t xml:space="preserve">
Effectif salariés &gt; = 50</t>
        </r>
      </text>
    </comment>
    <comment ref="A28" authorId="0" shapeId="0" xr:uid="{65FB7D8D-862D-4A9E-A6FF-B3A8AB3C5EF4}">
      <text>
        <r>
          <rPr>
            <sz val="9"/>
            <color indexed="81"/>
            <rFont val="Tahoma"/>
            <family val="2"/>
          </rPr>
          <t xml:space="preserve">(Taux Variable) Applicable Si Effectif salariés &gt;= 11
</t>
        </r>
      </text>
    </comment>
    <comment ref="D28" authorId="0" shapeId="0" xr:uid="{D7033561-47A9-41A8-AF81-9E51EA84A7AF}">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19D064F2-F498-4890-AF6D-1E4B1D20A73F}">
      <text>
        <r>
          <rPr>
            <b/>
            <sz val="9"/>
            <color indexed="81"/>
            <rFont val="Tahoma"/>
            <family val="2"/>
          </rPr>
          <t xml:space="preserve"> </t>
        </r>
        <r>
          <rPr>
            <sz val="9"/>
            <color indexed="81"/>
            <rFont val="Tahoma"/>
            <family val="2"/>
          </rPr>
          <t>Si Effectif salariés &gt;= 11)</t>
        </r>
      </text>
    </comment>
    <comment ref="A34" authorId="0" shapeId="0" xr:uid="{06F16ED6-6043-464F-9B0C-4D583B21D720}">
      <text>
        <r>
          <rPr>
            <sz val="9"/>
            <color indexed="81"/>
            <rFont val="Tahoma"/>
            <family val="2"/>
          </rPr>
          <t>(Si Effectifs salariés &gt; = 11 )</t>
        </r>
      </text>
    </comment>
    <comment ref="A35" authorId="0" shapeId="0" xr:uid="{FB5874F7-6E41-4417-9269-1E835BB03673}">
      <text>
        <r>
          <rPr>
            <sz val="9"/>
            <color indexed="81"/>
            <rFont val="Tahoma"/>
            <family val="2"/>
          </rPr>
          <t xml:space="preserve">(Si Effectifs salariés &lt; 11 )
</t>
        </r>
      </text>
    </comment>
    <comment ref="A36" authorId="0" shapeId="0" xr:uid="{79E65E71-635A-4E81-8455-86534F6C73A6}">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51" authorId="0" shapeId="0" xr:uid="{D958557A-F8CB-4295-AB62-1373D092CD8C}">
      <text>
        <r>
          <rPr>
            <sz val="9"/>
            <color indexed="81"/>
            <rFont val="Tahoma"/>
            <family val="2"/>
          </rPr>
          <t xml:space="preserve">Ce montant est reporté Cellule E68 de la feuille TRAME DU BP AMAELIOREE  - Cellule D71 de la feuille BP JUILLET 2023 - Cellule E72 de la feuille BP VERSION JANVIER 2023
</t>
        </r>
      </text>
    </comment>
    <comment ref="B57" authorId="0" shapeId="0" xr:uid="{947BDEC6-A6A7-449A-AEA6-2901162DEE2F}">
      <text>
        <r>
          <rPr>
            <sz val="9"/>
            <color indexed="81"/>
            <rFont val="Tahoma"/>
            <family val="2"/>
          </rPr>
          <t xml:space="preserve">Le montant repris dans cette cellule est celui des heures supplémentaires et complémentaires du bulletin de paie (Ligne 18  à Ligne 22
) 
</t>
        </r>
      </text>
    </comment>
    <comment ref="E57" authorId="0" shapeId="0" xr:uid="{452EA11E-3102-45AB-9046-49333334A93D}">
      <text>
        <r>
          <rPr>
            <sz val="9"/>
            <color indexed="81"/>
            <rFont val="Tahoma"/>
            <family val="2"/>
          </rPr>
          <t xml:space="preserve">La formule figurant dans cette cellule vous permet de déterminer dans quelle mesure la limite de 8037 euros est éventuelle dépassée et de reporter le montant des heures supplémentaires défiscalisées du mois 
</t>
        </r>
      </text>
    </comment>
    <comment ref="F57" authorId="0" shapeId="0" xr:uid="{B247F936-7645-49A5-BDC4-616A380AAC03}">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G57" authorId="0" shapeId="0" xr:uid="{41D25823-8F02-48C0-9191-4766D00394BC}">
      <text>
        <r>
          <rPr>
            <sz val="9"/>
            <color indexed="81"/>
            <rFont val="Tahoma"/>
            <family val="2"/>
          </rPr>
          <t xml:space="preserve">Le montant ici déterminé est ensuite reporté Cellule D135
</t>
        </r>
      </text>
    </comment>
    <comment ref="E62" authorId="0" shapeId="0" xr:uid="{A5E33F4F-95CA-4A32-B8F7-B39A30ACB853}">
      <text>
        <r>
          <rPr>
            <sz val="9"/>
            <color indexed="81"/>
            <rFont val="Tahoma"/>
            <family val="2"/>
          </rPr>
          <t xml:space="preserve">Lorsque le Cumul des heures supplémentaires dépasse 5358 la réduction a comme base de calcul 5358  moins le cumul du mois précédent
</t>
        </r>
      </text>
    </comment>
    <comment ref="E84" authorId="0" shapeId="0" xr:uid="{F19BE0E1-9320-4DFD-ABB7-EFFECEE9FA92}">
      <text>
        <r>
          <rPr>
            <sz val="9"/>
            <color indexed="81"/>
            <rFont val="Tahoma"/>
            <family val="2"/>
          </rPr>
          <t xml:space="preserve">Les données de cette colonne sont reportées à partir du bulletin de paie et la formule du net imposable est ensuite déterminée en tenant compte de la PP des TR à réintégrer déterminée Ligne 101. Le montant ainsi déterminé est ensuite reporté dans les bulletins de paie dans la Cellule  Net Imposable 
</t>
        </r>
      </text>
    </comment>
    <comment ref="F84" authorId="0" shapeId="0" xr:uid="{C6349ABB-C1B6-4243-8E2F-4EB3D82690E8}">
      <text>
        <r>
          <rPr>
            <sz val="9"/>
            <color indexed="81"/>
            <rFont val="Tahoma"/>
            <family val="2"/>
          </rPr>
          <t xml:space="preserve">Dans ce tableau sont repris à partir du BP  les élements nécessaires au calcul du Net imposable </t>
        </r>
      </text>
    </comment>
    <comment ref="A92" authorId="0" shapeId="0" xr:uid="{DC57E5BA-E0F7-4C24-8366-69101A69C988}">
      <text>
        <r>
          <rPr>
            <sz val="9"/>
            <color indexed="81"/>
            <rFont val="Tahoma"/>
            <family val="2"/>
          </rPr>
          <t>La décomposition du traitement de la CSG  et de la CRDS en présence d'heures supplémentaires - défiscalisées ou non - est traitée dans les cellules en bleu</t>
        </r>
      </text>
    </comment>
    <comment ref="E94" authorId="0" shapeId="0" xr:uid="{F47908A0-3574-486D-B522-6F742A47E2A4}">
      <text>
        <r>
          <rPr>
            <sz val="9"/>
            <color indexed="81"/>
            <rFont val="Tahoma"/>
            <family val="2"/>
          </rPr>
          <t xml:space="preserve">Tant que le seuil de 8037 euros n'a pas été dépassé la CSG à 6,8 % sur les heures supplémentaires est non déductible
</t>
        </r>
      </text>
    </comment>
    <comment ref="E95" authorId="0" shapeId="0" xr:uid="{8643C6CE-CE89-4F2D-8AFD-EE7751D6AC72}">
      <text>
        <r>
          <rPr>
            <sz val="9"/>
            <color indexed="81"/>
            <rFont val="Tahoma"/>
            <family val="2"/>
          </rPr>
          <t>Lorsque le montant des heures supplémentaires a dépassé 8037 euros la CSG à 6,8 % sur les heures supplémentaires ayant dépassé ce seuil est déductible</t>
        </r>
      </text>
    </comment>
    <comment ref="E105" authorId="0" shapeId="0" xr:uid="{ED9DFEE1-73BF-4F7A-97BE-3433333FFE1E}">
      <text>
        <r>
          <rPr>
            <sz val="9"/>
            <color indexed="81"/>
            <rFont val="Tahoma"/>
            <family val="2"/>
          </rPr>
          <t xml:space="preserve">Les heures Supplémentaires au-delà de 8037 euros ne sont pas déductibles fiscalement et sont donc imposables à l'Impôt sur le revenu
</t>
        </r>
      </text>
    </comment>
    <comment ref="E107" authorId="0" shapeId="0" xr:uid="{D2746AF1-57A2-46C0-9E56-BECE99DE0D0C}">
      <text>
        <r>
          <rPr>
            <sz val="9"/>
            <color indexed="81"/>
            <rFont val="Tahoma"/>
            <family val="2"/>
          </rPr>
          <t xml:space="preserve">Ce montant est reporté dans le BP 
</t>
        </r>
      </text>
    </comment>
    <comment ref="D132" authorId="0" shapeId="0" xr:uid="{FAFAEFF2-D1E9-4033-8E4A-D31CFDA1BE62}">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6" authorId="0" shapeId="0" xr:uid="{BB18198D-A42C-4C48-BD4D-551CBEBE089F}">
      <text>
        <r>
          <rPr>
            <sz val="9"/>
            <color indexed="81"/>
            <rFont val="Tahoma"/>
            <family val="2"/>
          </rPr>
          <t xml:space="preserve">Dans les cellules de calcul ci-dessous les formules commencent par vérifier si le Salaire brut total est supérieur ou non à la limite de 4 *PMSS </t>
        </r>
        <r>
          <rPr>
            <b/>
            <sz val="9"/>
            <color indexed="81"/>
            <rFont val="Tahoma"/>
            <family val="2"/>
          </rPr>
          <t xml:space="preserve">
</t>
        </r>
        <r>
          <rPr>
            <sz val="9"/>
            <color indexed="81"/>
            <rFont val="Tahoma"/>
            <family val="2"/>
          </rPr>
          <t xml:space="preserve">
</t>
        </r>
      </text>
    </comment>
    <comment ref="D137" authorId="0" shapeId="0" xr:uid="{93BC9A3B-4AA3-4532-9DE6-D64083535A94}">
      <text>
        <r>
          <rPr>
            <sz val="9"/>
            <color indexed="81"/>
            <rFont val="Tahoma"/>
            <family val="2"/>
          </rPr>
          <t xml:space="preserve">La base CSG CRDS comprend en particulier la PP des cotisations santé (mutuelles) Prévoyance et Retraite Supplémentaire 
</t>
        </r>
      </text>
    </comment>
    <comment ref="F138" authorId="0" shapeId="0" xr:uid="{81646AAC-406B-4A39-821C-D25238F4D766}">
      <text>
        <r>
          <rPr>
            <sz val="9"/>
            <color indexed="81"/>
            <rFont val="Tahoma"/>
            <family val="2"/>
          </rPr>
          <t xml:space="preserve">Les données ci-dessous sont ensuite reportées sur les bulletins de paie.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E17" authorId="0" shapeId="0" xr:uid="{199F68B3-A632-4664-A158-693ADD489F0B}">
      <text>
        <r>
          <rPr>
            <b/>
            <sz val="9"/>
            <color indexed="81"/>
            <rFont val="Tahoma"/>
            <family val="2"/>
          </rPr>
          <t>PC:</t>
        </r>
        <r>
          <rPr>
            <sz val="9"/>
            <color indexed="81"/>
            <rFont val="Tahoma"/>
            <family val="2"/>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sharedStrings.xml><?xml version="1.0" encoding="utf-8"?>
<sst xmlns="http://schemas.openxmlformats.org/spreadsheetml/2006/main" count="1646" uniqueCount="895">
  <si>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</si>
  <si>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</si>
  <si>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</si>
  <si>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</si>
  <si>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</si>
  <si>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</si>
  <si>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</si>
  <si>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</si>
  <si>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</si>
  <si>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</si>
  <si>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</si>
  <si>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</si>
  <si>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</si>
  <si>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</si>
  <si>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</si>
  <si>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</si>
  <si>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</si>
  <si>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</si>
  <si>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</si>
  <si>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</si>
  <si>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</si>
  <si>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</si>
  <si>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</si>
  <si>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</si>
  <si>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</si>
  <si>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</si>
  <si>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</si>
  <si>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</si>
  <si>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</si>
  <si>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</si>
  <si>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</si>
  <si>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</si>
  <si>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</si>
  <si>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</si>
  <si>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</si>
  <si>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</si>
  <si>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</si>
  <si>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</si>
  <si>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</si>
  <si>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</si>
  <si>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</si>
  <si>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</si>
  <si>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</si>
  <si>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</si>
  <si>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</si>
  <si>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</si>
  <si>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</si>
  <si>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</si>
  <si>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</si>
  <si>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</si>
  <si>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</si>
  <si>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</si>
  <si>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</si>
  <si>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</si>
  <si>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</si>
  <si>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</si>
  <si>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</si>
  <si>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</si>
  <si>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</si>
  <si>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</si>
  <si>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</si>
  <si>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</si>
  <si>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</si>
  <si>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</si>
  <si>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</si>
  <si>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</si>
  <si>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</si>
  <si>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</si>
  <si>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</si>
  <si>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</si>
  <si>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</si>
  <si>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</si>
  <si>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</si>
  <si>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</si>
  <si>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</si>
  <si>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</si>
  <si>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</si>
  <si>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</si>
  <si>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</si>
  <si>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</si>
  <si>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</si>
  <si>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</si>
  <si>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</si>
  <si>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</si>
  <si>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</si>
  <si>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</si>
  <si>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</si>
  <si>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</si>
  <si>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</si>
  <si>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</si>
  <si>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</si>
  <si>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</si>
  <si>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</si>
  <si>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</si>
  <si>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</si>
  <si>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</si>
  <si>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</si>
  <si>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</si>
  <si>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</si>
  <si>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</si>
  <si>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</si>
  <si>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</si>
  <si>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</si>
  <si>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</si>
  <si>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</si>
  <si>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</si>
  <si>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</si>
  <si>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</si>
  <si>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</si>
  <si>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</si>
  <si>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</si>
  <si>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</si>
  <si>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</si>
  <si>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</si>
  <si>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</si>
  <si>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</si>
  <si>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</si>
  <si>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</si>
  <si>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</si>
  <si>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</si>
  <si>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</si>
  <si>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</si>
  <si>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</si>
  <si>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</si>
  <si>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</si>
  <si>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</si>
  <si>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</si>
  <si>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</si>
  <si>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</si>
  <si>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</si>
  <si>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</si>
  <si>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</si>
  <si>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</si>
  <si>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</si>
  <si>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</si>
  <si>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</si>
  <si>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</si>
  <si>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</si>
  <si>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</si>
  <si>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</si>
  <si>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</si>
  <si>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</si>
  <si>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</si>
  <si>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</si>
  <si>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</si>
  <si>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</si>
  <si>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</si>
  <si>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</si>
  <si>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</si>
  <si>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</si>
  <si>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</si>
  <si>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</si>
  <si>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</si>
  <si>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</si>
  <si>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</si>
  <si>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</si>
  <si>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</si>
  <si>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</si>
  <si>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</si>
  <si>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</si>
  <si>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</si>
  <si>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</si>
  <si>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</si>
  <si>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</si>
  <si>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</si>
  <si>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</si>
  <si>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</si>
  <si>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</si>
  <si>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</si>
  <si>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</si>
  <si>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</si>
  <si>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</si>
  <si>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</si>
  <si>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</si>
  <si>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</si>
  <si>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</si>
  <si>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</si>
  <si>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</si>
  <si>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</si>
  <si>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</si>
  <si>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</si>
  <si>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</si>
  <si>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</si>
  <si>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</si>
  <si>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</si>
  <si>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</si>
  <si>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</si>
  <si>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</si>
  <si>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</si>
  <si>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</si>
  <si>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</si>
  <si>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</si>
  <si>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</si>
  <si>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</si>
  <si>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</si>
  <si>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</si>
  <si>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</si>
  <si>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</si>
  <si>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</si>
  <si>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</si>
  <si>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</si>
  <si>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</si>
  <si>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</si>
  <si>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</si>
  <si>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</si>
  <si>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</si>
  <si>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</si>
  <si>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</si>
  <si>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</si>
  <si>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</si>
  <si>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</si>
  <si>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</si>
  <si>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</si>
  <si>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</si>
  <si>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</si>
  <si>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</si>
  <si>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</si>
  <si>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</si>
  <si>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</si>
  <si>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</si>
  <si>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</si>
  <si>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</si>
  <si>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</si>
  <si>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</si>
  <si>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</si>
  <si>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</si>
  <si>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</si>
  <si>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</si>
  <si>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</si>
  <si>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</si>
  <si>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</si>
  <si>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</si>
  <si>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</si>
  <si>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</si>
  <si>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</si>
  <si>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</si>
  <si>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</si>
  <si>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</si>
  <si>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</si>
  <si>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</si>
  <si>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</si>
  <si>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</si>
  <si>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</si>
  <si>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</si>
  <si>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</si>
  <si>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</si>
  <si>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</si>
  <si>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</si>
  <si>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</si>
  <si>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</si>
  <si>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</si>
  <si>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</si>
  <si>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</si>
  <si>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</si>
  <si>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</si>
  <si>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</si>
  <si>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</si>
  <si>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</si>
  <si>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</si>
  <si>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</si>
  <si>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</si>
  <si>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</si>
  <si>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</si>
  <si>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</si>
  <si>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</si>
  <si>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</si>
  <si>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</si>
  <si>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</si>
  <si>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</si>
  <si>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</si>
  <si>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</si>
  <si>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</si>
  <si>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</si>
  <si>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</si>
  <si>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</si>
  <si>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</si>
  <si>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</si>
  <si>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</si>
  <si>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</si>
  <si>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</si>
  <si>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</si>
  <si>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</si>
  <si>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</si>
  <si>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</si>
  <si>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</si>
  <si>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</si>
  <si>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</si>
  <si>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</si>
  <si>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</si>
  <si>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</si>
  <si>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</si>
  <si>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</si>
  <si>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</si>
  <si>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</si>
  <si>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</si>
  <si>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</si>
  <si>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</si>
  <si>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</si>
  <si>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</si>
  <si>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</si>
  <si>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</si>
  <si>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</si>
  <si>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</si>
  <si>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</si>
  <si>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</si>
  <si>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</si>
  <si>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</si>
  <si>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</si>
  <si>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</si>
  <si>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</si>
  <si>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</si>
  <si>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</si>
  <si>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</si>
  <si>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</si>
  <si>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</si>
  <si>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</si>
  <si>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</si>
  <si>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</si>
  <si>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</si>
  <si>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</si>
  <si>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</si>
  <si>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</si>
  <si>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</si>
  <si>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</si>
  <si>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</si>
  <si>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</si>
  <si>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</si>
  <si>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</si>
  <si>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</si>
  <si>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</si>
  <si>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</si>
  <si>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</si>
  <si>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</si>
  <si>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</si>
  <si>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</si>
  <si>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</si>
  <si>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</si>
  <si>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</si>
  <si>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</si>
  <si>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</si>
  <si>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</si>
  <si>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</si>
  <si>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</si>
  <si>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</si>
  <si>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</si>
  <si>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</si>
  <si>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</si>
  <si>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</si>
  <si>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</si>
  <si>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</si>
  <si>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</si>
  <si>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</si>
  <si>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</si>
  <si>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</si>
  <si>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</si>
  <si>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</si>
  <si>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</si>
  <si>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</si>
  <si>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</si>
  <si>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</si>
  <si>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</si>
  <si>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</si>
  <si>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</si>
  <si>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</si>
  <si>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</si>
  <si>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</si>
  <si>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</si>
  <si>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</si>
  <si>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</si>
  <si>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</si>
  <si>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</si>
  <si>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</si>
  <si>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</si>
  <si>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</si>
  <si>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</si>
  <si>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</si>
  <si>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</si>
  <si>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</si>
  <si>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</si>
  <si>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</si>
  <si>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</si>
  <si>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</si>
  <si>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</si>
  <si>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</si>
  <si>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</si>
  <si>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</si>
  <si>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</si>
  <si>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</si>
  <si>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</si>
  <si>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</si>
  <si>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</si>
  <si>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</si>
  <si>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</si>
  <si>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</si>
  <si>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</si>
  <si>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</si>
  <si>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</si>
  <si>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</si>
  <si>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</si>
  <si>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</si>
  <si>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</si>
  <si>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</si>
  <si>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</si>
  <si>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</si>
  <si>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</si>
  <si>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</si>
  <si>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</si>
  <si>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</si>
  <si>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</si>
  <si>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</si>
  <si>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</si>
  <si>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</si>
  <si>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</si>
  <si>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</si>
  <si>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</si>
  <si>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</si>
  <si>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</si>
  <si>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</si>
  <si>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</si>
  <si>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</si>
  <si>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</si>
  <si>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</si>
  <si>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</si>
  <si>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</si>
  <si>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</si>
  <si>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</si>
  <si>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</si>
  <si>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</si>
  <si>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</si>
  <si>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</si>
  <si>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</si>
  <si>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</si>
  <si>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</si>
  <si>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</si>
  <si>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</si>
  <si>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</si>
  <si>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</si>
  <si>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</si>
  <si>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</si>
  <si>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</si>
  <si>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</si>
  <si>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</si>
  <si>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</si>
  <si>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</si>
  <si>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</si>
  <si>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</si>
  <si>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</si>
  <si>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</si>
  <si>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</si>
  <si>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</si>
  <si>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</si>
  <si>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</si>
  <si>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</si>
  <si>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</si>
  <si>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</si>
  <si>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</si>
  <si>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</si>
  <si>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</si>
  <si>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</si>
  <si>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</si>
  <si>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</si>
  <si>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</si>
  <si>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</si>
  <si>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</si>
  <si>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</si>
  <si>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</si>
  <si>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</si>
  <si>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</si>
  <si>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</si>
  <si>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</si>
  <si>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</si>
  <si>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</si>
  <si>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</si>
  <si>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</si>
  <si>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</si>
  <si>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</si>
  <si>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</si>
  <si>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</si>
  <si>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</si>
  <si>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</si>
  <si>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</si>
  <si>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</si>
  <si>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</si>
  <si>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</si>
  <si>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</si>
  <si>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</si>
  <si>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</si>
  <si>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</si>
  <si>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</si>
  <si>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</si>
  <si>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</si>
  <si>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</si>
  <si>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</si>
  <si>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</si>
  <si>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</si>
  <si>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</si>
  <si>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</si>
  <si>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</si>
  <si>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</si>
  <si>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</si>
  <si>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</si>
  <si>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</si>
  <si>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</si>
  <si>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</si>
  <si>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</si>
  <si>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</si>
  <si>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</si>
  <si>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</si>
  <si>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</si>
  <si>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</si>
  <si>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</si>
  <si>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</si>
  <si>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</si>
  <si>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</si>
  <si>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</si>
  <si>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</si>
  <si>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</si>
  <si>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</si>
  <si>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</si>
  <si>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</si>
  <si>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</si>
  <si>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</si>
  <si>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</si>
  <si>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</si>
  <si>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</si>
  <si>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</si>
  <si>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</si>
  <si>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</si>
  <si>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</si>
  <si>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</si>
  <si>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</si>
  <si>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</si>
  <si>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</si>
  <si>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</si>
  <si>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</si>
  <si>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</si>
  <si>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</si>
  <si>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</si>
  <si>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</si>
  <si>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</si>
  <si>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</si>
  <si>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</si>
  <si>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</si>
  <si>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</si>
  <si>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</si>
  <si>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</si>
  <si>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</si>
  <si>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</si>
  <si>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</si>
  <si>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</si>
  <si>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</si>
  <si>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</si>
  <si>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</si>
  <si>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</si>
  <si>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</si>
  <si>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</si>
  <si>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</si>
  <si>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</si>
  <si>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</si>
  <si>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</si>
  <si>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</si>
  <si>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</si>
  <si>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</si>
  <si>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</si>
  <si>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</si>
  <si>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</si>
  <si>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</si>
  <si>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</si>
  <si>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</si>
  <si>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</si>
  <si>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</si>
  <si>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</si>
  <si>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</si>
  <si>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</si>
  <si>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</si>
  <si>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</si>
  <si>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</si>
  <si>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</si>
  <si>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</si>
  <si>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</si>
  <si>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</si>
  <si>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</si>
  <si>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</si>
  <si>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</si>
  <si>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</si>
  <si>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</si>
  <si>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</si>
  <si>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</si>
  <si>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</si>
  <si>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</si>
  <si>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</si>
  <si>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</si>
  <si>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</si>
  <si>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</si>
  <si>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</si>
  <si>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</si>
  <si>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</si>
  <si>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</si>
  <si>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</si>
  <si>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</si>
  <si>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</si>
  <si>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</si>
  <si>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</si>
  <si>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</si>
  <si>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</si>
  <si>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</si>
  <si>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</si>
  <si>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</si>
  <si>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</si>
  <si>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</si>
  <si>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</si>
  <si>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</si>
  <si>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</si>
  <si>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</si>
  <si>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</si>
  <si>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</si>
  <si>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</si>
  <si>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</si>
  <si>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</si>
  <si>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</si>
  <si>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</si>
  <si>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</si>
  <si>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</si>
  <si>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</si>
  <si>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</si>
  <si>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</si>
  <si>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</si>
  <si>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</si>
  <si>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</si>
  <si>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</si>
  <si>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</si>
  <si>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</si>
  <si>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</si>
  <si>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</si>
  <si>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</si>
  <si>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</si>
  <si>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</si>
  <si>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</si>
  <si>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</si>
  <si>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</si>
  <si>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</si>
  <si>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</si>
  <si>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</si>
  <si>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</si>
  <si>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</si>
  <si>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</si>
  <si>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</si>
  <si>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</si>
  <si>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</si>
  <si>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</si>
  <si>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</si>
  <si>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</si>
  <si>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</si>
  <si>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</si>
  <si>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</si>
  <si>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</si>
  <si>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</si>
  <si>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</si>
  <si>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</si>
  <si>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</si>
  <si>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</si>
  <si>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</si>
  <si>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</si>
  <si>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</si>
  <si>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</si>
  <si>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</si>
  <si>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</si>
  <si>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</si>
  <si>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</si>
  <si>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</si>
  <si>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</si>
  <si>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</si>
  <si>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</si>
  <si>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Pharmacie L et D  de GAALON </t>
  </si>
  <si>
    <t xml:space="preserve">29 Rue Clémenceau  22430 Erquy </t>
  </si>
  <si>
    <t>4773Z</t>
  </si>
  <si>
    <t xml:space="preserve">2 Avenue du Val Fleuri 22520 Binic </t>
  </si>
  <si>
    <t>Préparatrice en Pharmacie</t>
  </si>
  <si>
    <t>2.96.02.297.820. 957</t>
  </si>
  <si>
    <t>Rassa</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</si>
  <si>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</si>
  <si>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</si>
  <si>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</si>
  <si>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</si>
  <si>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</si>
  <si>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</si>
  <si>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</si>
  <si>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</si>
  <si>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</si>
  <si>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</si>
  <si>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</si>
  <si>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</si>
  <si>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</si>
  <si>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</si>
  <si>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</si>
  <si>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</si>
  <si>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</si>
  <si>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</si>
  <si>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</si>
  <si>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</si>
  <si>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</si>
  <si>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</si>
  <si>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</si>
  <si>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</si>
  <si>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</si>
  <si>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</si>
  <si>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</si>
  <si>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</si>
  <si>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</si>
  <si>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</si>
  <si>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</si>
  <si>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</si>
  <si>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</si>
  <si>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 xml:space="preserve">Une feuille reliée au BP Format Janvier , l'autre au BP Format Juillet </t>
  </si>
  <si>
    <t xml:space="preserve">Si le salarié est Non Cadre : NC </t>
  </si>
  <si>
    <t xml:space="preserve">Si le salarié est Non Cadre : 1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</si>
  <si>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</si>
  <si>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Application Limite 1,4 SMIC</t>
  </si>
  <si>
    <t>MATRICE DE  CALCUL    IJSS MALADIE   202N</t>
  </si>
  <si>
    <t>MOIS N-1</t>
  </si>
  <si>
    <t>Mois N-2</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</si>
  <si>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</si>
  <si>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</si>
  <si>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</si>
  <si>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</si>
  <si>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</si>
  <si>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</si>
  <si>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</si>
  <si>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</si>
  <si>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</si>
  <si>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</si>
  <si>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</si>
  <si>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</si>
  <si>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</si>
  <si>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</si>
  <si>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</si>
  <si>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</si>
  <si>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</si>
  <si>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</si>
  <si>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</si>
  <si>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</si>
  <si>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</si>
  <si>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</si>
  <si>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</si>
  <si>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</si>
  <si>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</si>
  <si>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</si>
  <si>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</si>
  <si>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</si>
  <si>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</si>
  <si>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</si>
  <si>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</si>
  <si>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</si>
  <si>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</si>
  <si>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</si>
  <si>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</si>
  <si>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</si>
  <si>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</si>
  <si>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</si>
  <si>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</si>
  <si>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</si>
  <si>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</si>
  <si>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</si>
  <si>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</si>
  <si>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</si>
  <si>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</si>
  <si>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</si>
  <si>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</si>
  <si>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</si>
  <si>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</si>
  <si>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</si>
  <si>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</si>
  <si>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</si>
  <si>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</si>
  <si>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</si>
  <si>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</si>
  <si>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</si>
  <si>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</si>
  <si>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</si>
  <si>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</si>
  <si>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</si>
  <si>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</si>
  <si>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</si>
  <si>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</si>
  <si>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</si>
  <si>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</si>
  <si>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</si>
  <si>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</si>
  <si>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</si>
  <si>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</si>
  <si>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</si>
  <si>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</si>
  <si>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</si>
  <si>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</si>
  <si>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xml:space="preserve">Tableau 1 </t>
  </si>
  <si>
    <t>Ce taux est au maximum de 11,31%</t>
  </si>
  <si>
    <t xml:space="preserve">Les taux applicables pour déterminer le taux de réduction sont différents suivant que le Salaire est ou non supérieur au PMSS </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</si>
  <si>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</si>
  <si>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</si>
  <si>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</si>
  <si>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</si>
  <si>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</si>
  <si>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</si>
  <si>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</si>
  <si>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</si>
  <si>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</si>
  <si>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</si>
  <si>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</si>
  <si>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</si>
  <si>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</si>
  <si>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</si>
  <si>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</si>
  <si>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</si>
  <si>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</si>
  <si>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</si>
  <si>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</si>
  <si>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</si>
  <si>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</si>
  <si>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</si>
  <si>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</si>
  <si>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</si>
  <si>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</si>
  <si>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</si>
  <si>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</si>
  <si>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</si>
  <si>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</si>
  <si>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</si>
  <si>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</si>
  <si>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t xml:space="preserve">1. Détermination du taux de réduction de cotisations applicable aux heures supplémentairs ( Taux à reporter Cellule  D72 des  Bulletins  de Paie)  </t>
  </si>
  <si>
    <t xml:space="preserve">Cas d'un salaire inférieur au Plafond de la SS </t>
  </si>
  <si>
    <t xml:space="preserve">Cas d'un salaire supérieur au Plafond de la SS </t>
  </si>
  <si>
    <t xml:space="preserve">11,31 %  est le montant maximum du taux de réduction des charges salariales </t>
  </si>
  <si>
    <t xml:space="preserve">La formule saisie dans la cellule F52 permet d'appliquer la limite maximum de 11,31% au rapport de la  cellules F50  au salaire brut </t>
  </si>
  <si>
    <t xml:space="preserve">Montant Cumulé des Heures Supplémentaires n Fin de mois </t>
  </si>
  <si>
    <t xml:space="preserve">2. Détermination du net imposable </t>
  </si>
  <si>
    <r>
      <t xml:space="preserve">Heures Suppl/ Compl </t>
    </r>
    <r>
      <rPr>
        <b/>
        <sz val="11"/>
        <color theme="1"/>
        <rFont val="Times New Roman"/>
        <family val="1"/>
      </rPr>
      <t>non défiscalisées</t>
    </r>
  </si>
  <si>
    <t xml:space="preserve">TR à intégrer dans le Net Imposable </t>
  </si>
  <si>
    <t xml:space="preserve">IJSS nettes  à  INTEGRER dans le NET IMPOSABLE </t>
  </si>
  <si>
    <t xml:space="preserve">Heures supplémentaires ayant dépassé 8037  euros </t>
  </si>
  <si>
    <t xml:space="preserve">3. Routine calcul base CSG CRDS </t>
  </si>
  <si>
    <t>Heures Suppl non  défiscalisées</t>
  </si>
  <si>
    <t>la limite de 3 SMIC</t>
  </si>
  <si>
    <t xml:space="preserve">21. Lorsqu'un salarié est en CDD court il a le droit à un abattement de1/2 SMIC Net pratiqué sur la base du PAS (soit en 2026 ?) </t>
  </si>
  <si>
    <t>Red Gen Dégressive Unique</t>
  </si>
  <si>
    <t>Taxe d'apprentissage</t>
  </si>
  <si>
    <t xml:space="preserve">Formation professionnelle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</si>
  <si>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</si>
  <si>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</si>
  <si>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</si>
  <si>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</si>
  <si>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</si>
  <si>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</si>
  <si>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</si>
  <si>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</si>
  <si>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0,5 euro / Heure Suppl</t>
  </si>
  <si>
    <t xml:space="preserve">Tickets restaurant Exonération maximale de la Part Patronale </t>
  </si>
  <si>
    <r>
      <t xml:space="preserve">Taux </t>
    </r>
    <r>
      <rPr>
        <b/>
        <sz val="11"/>
        <color theme="1"/>
        <rFont val="Times New Roman"/>
        <family val="1"/>
      </rPr>
      <t>2025</t>
    </r>
    <r>
      <rPr>
        <sz val="11"/>
        <color theme="1"/>
        <rFont val="Times New Roman"/>
        <family val="1"/>
      </rPr>
      <t xml:space="preserve">  du Versement Mobilité en RP </t>
    </r>
  </si>
  <si>
    <r>
      <t xml:space="preserve">  </t>
    </r>
    <r>
      <rPr>
        <i/>
        <sz val="11"/>
        <color theme="1"/>
        <rFont val="Times New Roman"/>
        <family val="1"/>
      </rPr>
      <t xml:space="preserve"> https://www.urssaf.fr/portail/home/taux-et-baremes/versement-mobilite.html</t>
    </r>
  </si>
  <si>
    <t>( selon la règle applicable dans la mesure  où la valeur des heures supplémentaires effectuées sur l'année civile n'a pas dépassé un montant de 8037 euros bruts soit 7500 net)</t>
  </si>
  <si>
    <t>Cf Table des Taux Ligne 67 à 79 pour le justification des taux utilisés dans la feuille "HEURES SUPPLEMENTAIRES"</t>
  </si>
  <si>
    <t>Table des Taux 2026</t>
  </si>
  <si>
    <t xml:space="preserve">Les cellules en jaune peuvent être modifiées (variables) </t>
  </si>
  <si>
    <t xml:space="preserve">Paramètres 2026  et Variables </t>
  </si>
  <si>
    <t>SMIC  Horaire</t>
  </si>
  <si>
    <t>Coefficients   2026</t>
  </si>
  <si>
    <t xml:space="preserve">Entreprises de moins de 50 salariés </t>
  </si>
  <si>
    <t xml:space="preserve">Entreprises d'au moins 50 salariés </t>
  </si>
  <si>
    <t>Coefficient 2026 Minimum</t>
  </si>
  <si>
    <t>Effectifs</t>
  </si>
  <si>
    <t xml:space="preserve">Présentation 2 </t>
  </si>
  <si>
    <t xml:space="preserve">Octobre </t>
  </si>
  <si>
    <t xml:space="preserve">Brut du mois </t>
  </si>
  <si>
    <t>Brut cumulé</t>
  </si>
  <si>
    <t xml:space="preserve">Heures du mois </t>
  </si>
  <si>
    <t xml:space="preserve">Heures cumulées </t>
  </si>
  <si>
    <t xml:space="preserve">A = 3 * Nb d'heures  Cumulées *SMICH </t>
  </si>
  <si>
    <t xml:space="preserve">A/ Brut Cumulé du mois </t>
  </si>
  <si>
    <t>/2</t>
  </si>
  <si>
    <t>Puissance 1,75</t>
  </si>
  <si>
    <t xml:space="preserve">Coefficient </t>
  </si>
  <si>
    <t xml:space="preserve">Réduction cumulée </t>
  </si>
  <si>
    <t xml:space="preserve">Réduction du mois </t>
  </si>
  <si>
    <t xml:space="preserve">Décembre </t>
  </si>
  <si>
    <t xml:space="preserve">Montant reporté cellule J87 ou J84 des 2 BP donnés en exemple </t>
  </si>
  <si>
    <t>31/04/2026</t>
  </si>
  <si>
    <t>SMICH s'appliquant au 01/01/2026</t>
  </si>
  <si>
    <t>SMICH s'appliquant au 31/12/2025</t>
  </si>
  <si>
    <t>Limite de  1,4 SMIC ( depios le  01/04/2025)</t>
  </si>
  <si>
    <t xml:space="preserve">JANVIER </t>
  </si>
  <si>
    <t xml:space="preserve">OCTOBRE </t>
  </si>
  <si>
    <t xml:space="preserve">DFHS entreprises d'au moins 20  salariés </t>
  </si>
  <si>
    <t>Abattement CDD Court 2026</t>
  </si>
  <si>
    <t xml:space="preserve">Sécurité sociale Maladie Maternité Invalidité Décés </t>
  </si>
  <si>
    <t>Allocations Familiales</t>
  </si>
  <si>
    <t xml:space="preserve">Sécurité Sociale Maladie Maternité Invalidité Décés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</si>
</sst>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0.00000"/>
    <numFmt numFmtId="185" formatCode="#,##0.0000000"/>
  </numFmts>
  <fonts count="118"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b/>
      <sz val="12"/>
      <name val="Arial"/>
      <family val="2"/>
    </font>
    <font>
      <b/>
      <sz val="12"/>
      <name val="Calibri"/>
      <family val="2"/>
      <scheme val="minor"/>
    </font>
    <font>
      <b/>
      <sz val="12"/>
      <color theme="0"/>
      <name val="Times New Roman"/>
      <family val="1"/>
    </font>
    <font>
      <b/>
      <sz val="10"/>
      <color theme="0"/>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1"/>
      <color theme="0"/>
      <name val="Calibri"/>
      <family val="2"/>
      <scheme val="minor"/>
    </font>
    <font>
      <sz val="10"/>
      <color theme="0" tint="-4.9989318521683403E-2"/>
      <name val="Times New Roman"/>
      <family val="1"/>
    </font>
    <font>
      <b/>
      <sz val="8"/>
      <color rgb="FF000000"/>
      <name val="Times New Roman"/>
      <family val="1"/>
    </font>
    <font>
      <b/>
      <sz val="12"/>
      <name val="Times New Roman"/>
      <family val="1"/>
    </font>
    <font>
      <sz val="11"/>
      <color theme="0" tint="-4.9989318521683403E-2"/>
      <name val="Calibri"/>
      <family val="2"/>
      <scheme val="minor"/>
    </font>
    <font>
      <i/>
      <sz val="12"/>
      <color theme="1"/>
      <name val="Times New Roman"/>
      <family val="1"/>
    </font>
    <font>
      <i/>
      <sz val="11"/>
      <color theme="1"/>
      <name val="Times New Roman"/>
      <family val="1"/>
    </font>
    <font>
      <sz val="11"/>
      <name val="Times New Roman"/>
      <family val="1"/>
    </font>
  </fonts>
  <fills count="1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
      <patternFill patternType="solid">
        <fgColor theme="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cellStyleXfs>
  <cellXfs count="1097">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43" fontId="44" fillId="0" borderId="1" xfId="1" applyFont="1" applyBorder="1" applyAlignment="1">
      <alignment horizontal="center" vertical="center" wrapText="1"/>
    </xf>
    <xf numFmtId="43" fontId="44" fillId="0" borderId="1" xfId="1" applyFont="1" applyFill="1" applyBorder="1" applyAlignment="1">
      <alignment horizontal="center" vertical="center" wrapText="1"/>
    </xf>
    <xf numFmtId="43" fontId="44" fillId="0" borderId="1" xfId="1" applyFont="1" applyBorder="1" applyAlignment="1">
      <alignment vertical="center" wrapText="1"/>
    </xf>
    <xf numFmtId="4" fontId="44" fillId="0" borderId="1" xfId="0" applyNumberFormat="1" applyFont="1" applyBorder="1" applyAlignment="1">
      <alignment horizontal="center" vertical="center" wrapText="1"/>
    </xf>
    <xf numFmtId="174" fontId="45" fillId="0" borderId="1" xfId="0" applyNumberFormat="1" applyFont="1" applyBorder="1" applyAlignment="1">
      <alignment horizontal="center" vertical="center" wrapText="1"/>
    </xf>
    <xf numFmtId="174" fontId="45" fillId="0" borderId="1" xfId="0" applyNumberFormat="1" applyFont="1" applyBorder="1"/>
    <xf numFmtId="0" fontId="45" fillId="0" borderId="1" xfId="0" quotePrefix="1" applyFont="1" applyBorder="1"/>
    <xf numFmtId="0" fontId="45" fillId="0" borderId="1" xfId="0" applyFont="1" applyBorder="1"/>
    <xf numFmtId="164" fontId="45" fillId="0" borderId="1" xfId="0" applyNumberFormat="1" applyFont="1" applyBorder="1"/>
    <xf numFmtId="4" fontId="45" fillId="0" borderId="1" xfId="0" applyNumberFormat="1" applyFont="1" applyBorder="1" applyAlignment="1">
      <alignment horizontal="center" vertical="center" wrapText="1"/>
    </xf>
    <xf numFmtId="177" fontId="45"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6" fillId="0" borderId="0" xfId="0" applyFont="1" applyAlignment="1">
      <alignment horizontal="center" vertical="center" wrapText="1"/>
    </xf>
    <xf numFmtId="178" fontId="0" fillId="0" borderId="0" xfId="0" applyNumberFormat="1"/>
    <xf numFmtId="0" fontId="45" fillId="0" borderId="0" xfId="0" applyFont="1"/>
    <xf numFmtId="0" fontId="45" fillId="0" borderId="1" xfId="0" applyFont="1" applyBorder="1" applyAlignment="1">
      <alignment horizontal="center" vertical="center" wrapText="1"/>
    </xf>
    <xf numFmtId="0" fontId="45" fillId="0" borderId="0" xfId="0" applyFont="1" applyAlignment="1">
      <alignment horizontal="center" vertical="center" wrapText="1"/>
    </xf>
    <xf numFmtId="179" fontId="45"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5" fillId="0" borderId="0" xfId="0" applyNumberFormat="1" applyFont="1" applyAlignment="1">
      <alignment horizontal="center" vertical="center" wrapText="1"/>
    </xf>
    <xf numFmtId="164" fontId="45" fillId="0" borderId="0" xfId="0" applyNumberFormat="1" applyFont="1" applyAlignment="1">
      <alignment horizontal="center" vertical="center" wrapText="1"/>
    </xf>
    <xf numFmtId="172" fontId="45" fillId="0" borderId="0" xfId="0" applyNumberFormat="1" applyFont="1" applyAlignment="1">
      <alignment horizontal="center" vertical="center" wrapText="1"/>
    </xf>
    <xf numFmtId="43" fontId="45" fillId="0" borderId="0" xfId="1" applyFont="1" applyFill="1" applyBorder="1" applyAlignment="1">
      <alignment horizontal="center" vertical="center" wrapText="1"/>
    </xf>
    <xf numFmtId="4" fontId="45" fillId="0" borderId="1" xfId="0" applyNumberFormat="1" applyFont="1" applyBorder="1"/>
    <xf numFmtId="0" fontId="45"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6" fillId="0" borderId="1" xfId="0" applyFont="1" applyBorder="1" applyAlignment="1">
      <alignment horizontal="center" vertical="center" wrapText="1"/>
    </xf>
    <xf numFmtId="4" fontId="45" fillId="0" borderId="1" xfId="0" applyNumberFormat="1" applyFont="1" applyBorder="1" applyAlignment="1">
      <alignment horizontal="center"/>
    </xf>
    <xf numFmtId="43" fontId="18" fillId="0" borderId="1" xfId="1" applyFont="1" applyBorder="1" applyAlignment="1">
      <alignment horizontal="right"/>
    </xf>
    <xf numFmtId="43" fontId="45"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7" fillId="0" borderId="1" xfId="0" applyNumberFormat="1" applyFont="1" applyBorder="1" applyAlignment="1">
      <alignment horizontal="center" vertical="center" wrapText="1"/>
    </xf>
    <xf numFmtId="0" fontId="48" fillId="0" borderId="1" xfId="0" applyFont="1" applyBorder="1" applyAlignment="1">
      <alignment horizontal="center" vertical="center" wrapText="1"/>
    </xf>
    <xf numFmtId="4" fontId="48" fillId="0" borderId="1" xfId="0" applyNumberFormat="1" applyFont="1" applyBorder="1" applyAlignment="1">
      <alignment horizontal="center" vertical="center" wrapText="1"/>
    </xf>
    <xf numFmtId="179" fontId="48" fillId="0" borderId="1" xfId="1" applyNumberFormat="1" applyFont="1" applyBorder="1" applyAlignment="1">
      <alignment horizontal="center" vertical="center" wrapText="1"/>
    </xf>
    <xf numFmtId="0" fontId="46" fillId="0" borderId="9" xfId="0" applyFont="1" applyBorder="1" applyAlignment="1">
      <alignment horizontal="center" vertical="center" wrapText="1"/>
    </xf>
    <xf numFmtId="4" fontId="45" fillId="0" borderId="9" xfId="0" applyNumberFormat="1" applyFont="1" applyBorder="1" applyAlignment="1">
      <alignment horizontal="center"/>
    </xf>
    <xf numFmtId="4" fontId="45"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3" fontId="45"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49" fillId="0" borderId="0" xfId="0" applyNumberFormat="1" applyFont="1" applyAlignment="1">
      <alignment horizontal="center" vertical="center" wrapText="1"/>
    </xf>
    <xf numFmtId="0" fontId="48" fillId="0" borderId="0" xfId="0" applyFont="1" applyAlignment="1">
      <alignment horizontal="center" vertical="center" wrapText="1"/>
    </xf>
    <xf numFmtId="4" fontId="49" fillId="2" borderId="10" xfId="0" applyNumberFormat="1" applyFont="1" applyFill="1" applyBorder="1" applyAlignment="1">
      <alignment horizontal="center" vertical="center" wrapText="1"/>
    </xf>
    <xf numFmtId="43" fontId="44" fillId="0" borderId="0" xfId="1" applyFont="1" applyFill="1" applyBorder="1" applyAlignment="1">
      <alignment horizontal="center" vertical="center" wrapText="1"/>
    </xf>
    <xf numFmtId="174" fontId="45" fillId="0" borderId="0" xfId="0" applyNumberFormat="1" applyFont="1" applyAlignment="1">
      <alignment horizontal="center" vertical="center" wrapText="1"/>
    </xf>
    <xf numFmtId="4" fontId="47"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4" fillId="0" borderId="9" xfId="1" applyFont="1" applyBorder="1" applyAlignment="1">
      <alignment horizontal="center" vertical="center" wrapText="1"/>
    </xf>
    <xf numFmtId="174" fontId="45" fillId="0" borderId="9" xfId="0" applyNumberFormat="1" applyFont="1" applyBorder="1" applyAlignment="1">
      <alignment horizontal="center" vertical="center" wrapText="1"/>
    </xf>
    <xf numFmtId="43" fontId="25" fillId="0" borderId="9" xfId="1" applyFont="1" applyBorder="1"/>
    <xf numFmtId="43" fontId="44" fillId="0" borderId="0" xfId="1" applyFont="1" applyBorder="1" applyAlignment="1">
      <alignment horizontal="center" vertical="center" wrapText="1"/>
    </xf>
    <xf numFmtId="4" fontId="44"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0"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4" fillId="0" borderId="0" xfId="0" applyFont="1" applyAlignment="1">
      <alignment horizontal="left"/>
    </xf>
    <xf numFmtId="0" fontId="54" fillId="0" borderId="0" xfId="0" applyFont="1" applyAlignment="1">
      <alignment horizontal="center"/>
    </xf>
    <xf numFmtId="165" fontId="54"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4" fillId="0" borderId="0" xfId="0" applyNumberFormat="1" applyFont="1" applyAlignment="1">
      <alignment horizontal="right"/>
    </xf>
    <xf numFmtId="176" fontId="54"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1"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7"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58"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59" fillId="0" borderId="1" xfId="2" applyFont="1" applyBorder="1" applyAlignment="1">
      <alignment horizontal="center" vertical="center" wrapText="1"/>
    </xf>
    <xf numFmtId="0" fontId="59"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1"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0" fillId="0" borderId="10" xfId="0" applyNumberFormat="1" applyFont="1" applyBorder="1" applyAlignment="1">
      <alignment horizontal="center" vertical="center"/>
    </xf>
    <xf numFmtId="4" fontId="50" fillId="0" borderId="1" xfId="0" applyNumberFormat="1" applyFont="1" applyBorder="1" applyAlignment="1">
      <alignment horizontal="center" vertical="center"/>
    </xf>
    <xf numFmtId="4" fontId="56"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3"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3" fillId="0" borderId="1" xfId="0" applyFont="1" applyBorder="1" applyAlignment="1">
      <alignment vertical="center" wrapText="1"/>
    </xf>
    <xf numFmtId="0" fontId="42" fillId="0" borderId="1" xfId="0" applyFont="1" applyBorder="1" applyAlignment="1">
      <alignment vertical="center" wrapText="1"/>
    </xf>
    <xf numFmtId="166" fontId="45" fillId="0" borderId="1" xfId="3" applyNumberFormat="1" applyFont="1" applyBorder="1" applyAlignment="1">
      <alignment vertical="center" wrapText="1"/>
    </xf>
    <xf numFmtId="0" fontId="33" fillId="0" borderId="1" xfId="0" applyFont="1" applyBorder="1"/>
    <xf numFmtId="43" fontId="48" fillId="0" borderId="1" xfId="1" applyFont="1" applyBorder="1" applyAlignment="1">
      <alignment horizontal="center" vertical="center" wrapText="1"/>
    </xf>
    <xf numFmtId="4" fontId="49" fillId="0" borderId="1" xfId="0" applyNumberFormat="1" applyFont="1" applyBorder="1" applyAlignment="1">
      <alignment horizontal="center" vertical="center" wrapText="1"/>
    </xf>
    <xf numFmtId="4" fontId="48" fillId="2" borderId="1" xfId="0" applyNumberFormat="1" applyFont="1" applyFill="1" applyBorder="1" applyAlignment="1">
      <alignment horizontal="center" vertical="center" wrapText="1"/>
    </xf>
    <xf numFmtId="0" fontId="36" fillId="0" borderId="1" xfId="0" applyFont="1" applyBorder="1" applyAlignment="1">
      <alignment horizontal="center"/>
    </xf>
    <xf numFmtId="0" fontId="65"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6" fillId="0" borderId="1" xfId="0" applyNumberFormat="1" applyFont="1" applyBorder="1" applyAlignment="1">
      <alignment horizontal="center" vertical="center"/>
    </xf>
    <xf numFmtId="10" fontId="66"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6"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6"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6" fillId="0" borderId="0" xfId="0" applyNumberFormat="1" applyFont="1" applyAlignment="1">
      <alignment horizontal="center" vertical="center"/>
    </xf>
    <xf numFmtId="168" fontId="66" fillId="0" borderId="0" xfId="0" applyNumberFormat="1" applyFont="1" applyAlignment="1">
      <alignment horizontal="center" vertical="center"/>
    </xf>
    <xf numFmtId="165" fontId="28" fillId="0" borderId="0" xfId="0" applyNumberFormat="1" applyFont="1" applyAlignment="1">
      <alignment horizontal="center" vertical="center"/>
    </xf>
    <xf numFmtId="165" fontId="66" fillId="0" borderId="0" xfId="0" applyNumberFormat="1" applyFont="1" applyAlignment="1">
      <alignment horizontal="center" vertical="center"/>
    </xf>
    <xf numFmtId="4" fontId="28" fillId="0" borderId="0" xfId="0" applyNumberFormat="1" applyFont="1" applyAlignment="1">
      <alignment horizontal="center" vertical="center"/>
    </xf>
    <xf numFmtId="0" fontId="68"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10" fontId="34" fillId="0" borderId="1" xfId="3" applyNumberFormat="1" applyFont="1" applyBorder="1" applyAlignment="1">
      <alignment horizontal="center" vertical="center"/>
    </xf>
    <xf numFmtId="10" fontId="44"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0" fontId="33" fillId="0" borderId="1" xfId="0" applyFont="1" applyBorder="1" applyAlignment="1">
      <alignment horizontal="center" vertic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4" fillId="0" borderId="1" xfId="2" applyNumberFormat="1" applyFont="1" applyBorder="1" applyAlignment="1">
      <alignment horizontal="center" vertical="center" wrapText="1"/>
    </xf>
    <xf numFmtId="0" fontId="70"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1" fillId="0" borderId="9" xfId="0" applyFont="1" applyBorder="1" applyAlignment="1">
      <alignment horizontal="center" vertical="center" wrapText="1"/>
    </xf>
    <xf numFmtId="2" fontId="72"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4" fillId="0" borderId="1" xfId="1" applyFont="1" applyFill="1" applyBorder="1" applyAlignment="1">
      <alignment horizontal="center" vertical="center" wrapText="1"/>
    </xf>
    <xf numFmtId="0" fontId="73"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5" fillId="0" borderId="1" xfId="4" applyFont="1" applyBorder="1" applyAlignment="1">
      <alignment horizontal="center" vertical="center" wrapText="1"/>
    </xf>
    <xf numFmtId="43" fontId="75" fillId="0" borderId="1" xfId="1" applyFont="1" applyFill="1" applyBorder="1" applyAlignment="1">
      <alignment horizontal="center" vertical="center" wrapText="1"/>
    </xf>
    <xf numFmtId="14" fontId="48"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8" fillId="8" borderId="1" xfId="0" applyNumberFormat="1" applyFont="1" applyFill="1" applyBorder="1" applyAlignment="1">
      <alignment horizontal="center" vertical="center" wrapText="1"/>
    </xf>
    <xf numFmtId="0" fontId="48" fillId="8" borderId="1" xfId="0" applyFont="1" applyFill="1" applyBorder="1" applyAlignment="1">
      <alignment horizontal="center" vertical="center" wrapText="1"/>
    </xf>
    <xf numFmtId="0" fontId="48" fillId="9" borderId="1" xfId="0" applyFont="1" applyFill="1" applyBorder="1" applyAlignment="1">
      <alignment horizontal="center" vertical="center" wrapText="1"/>
    </xf>
    <xf numFmtId="0" fontId="48" fillId="2" borderId="1" xfId="0" applyFont="1" applyFill="1" applyBorder="1" applyAlignment="1">
      <alignment horizontal="center" vertical="center" wrapText="1"/>
    </xf>
    <xf numFmtId="0" fontId="48" fillId="8"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80" fillId="0" borderId="1" xfId="1" applyFont="1" applyBorder="1" applyAlignment="1">
      <alignment horizontal="center" vertical="center"/>
    </xf>
    <xf numFmtId="43" fontId="79" fillId="0" borderId="1" xfId="1" applyFont="1" applyBorder="1" applyAlignment="1">
      <alignment horizontal="center" vertical="center"/>
    </xf>
    <xf numFmtId="0" fontId="77" fillId="0" borderId="0" xfId="0" applyFont="1"/>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49"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69"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4" fillId="0" borderId="1" xfId="4" applyNumberFormat="1" applyFont="1" applyBorder="1" applyAlignment="1">
      <alignment horizontal="center" vertical="center" wrapText="1"/>
    </xf>
    <xf numFmtId="1" fontId="81" fillId="11" borderId="9" xfId="4" applyNumberFormat="1" applyFont="1" applyFill="1" applyBorder="1" applyAlignment="1">
      <alignment horizontal="center" vertical="center" wrapText="1"/>
    </xf>
    <xf numFmtId="0" fontId="85" fillId="11"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8" fillId="0" borderId="13" xfId="0" applyFont="1" applyBorder="1" applyAlignment="1">
      <alignment horizontal="center" vertical="center" wrapText="1"/>
    </xf>
    <xf numFmtId="14" fontId="48" fillId="8" borderId="13" xfId="0" applyNumberFormat="1" applyFont="1" applyFill="1" applyBorder="1" applyAlignment="1">
      <alignment horizontal="center" vertical="center" wrapText="1"/>
    </xf>
    <xf numFmtId="0" fontId="28" fillId="0" borderId="1" xfId="0" applyFont="1" applyBorder="1" applyAlignment="1">
      <alignment horizontal="center" vertical="center"/>
    </xf>
    <xf numFmtId="0" fontId="87"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43" fontId="0" fillId="2" borderId="1" xfId="0" applyNumberFormat="1" applyFill="1" applyBorder="1" applyAlignment="1">
      <alignment horizontal="center" vertical="center" wrapText="1"/>
    </xf>
    <xf numFmtId="0" fontId="12" fillId="0" borderId="0" xfId="0" applyFont="1"/>
    <xf numFmtId="0" fontId="90" fillId="0" borderId="0" xfId="0" applyFont="1"/>
    <xf numFmtId="0" fontId="91" fillId="0" borderId="0" xfId="0" applyFont="1"/>
    <xf numFmtId="4" fontId="90" fillId="0" borderId="0" xfId="0" applyNumberFormat="1" applyFont="1"/>
    <xf numFmtId="0" fontId="48" fillId="0" borderId="0" xfId="0" applyFont="1"/>
    <xf numFmtId="0" fontId="92" fillId="0" borderId="0" xfId="0" applyFont="1"/>
    <xf numFmtId="0" fontId="0" fillId="0" borderId="0" xfId="0" applyAlignment="1">
      <alignment horizontal="left"/>
    </xf>
    <xf numFmtId="0" fontId="26" fillId="0" borderId="0" xfId="0" applyFont="1" applyAlignment="1">
      <alignment horizontal="left"/>
    </xf>
    <xf numFmtId="0" fontId="33" fillId="0" borderId="14" xfId="0" applyFont="1" applyBorder="1" applyAlignment="1">
      <alignment horizontal="center" vertical="center" wrapText="1"/>
    </xf>
    <xf numFmtId="0" fontId="56"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3" fillId="0" borderId="1" xfId="0" applyFont="1" applyBorder="1" applyAlignment="1">
      <alignment horizontal="center" vertical="center" wrapText="1"/>
    </xf>
    <xf numFmtId="2" fontId="49"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2" fontId="0" fillId="0" borderId="0" xfId="0" applyNumberFormat="1"/>
    <xf numFmtId="0" fontId="81" fillId="12"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49" fillId="2" borderId="0" xfId="0" applyFont="1" applyFill="1"/>
    <xf numFmtId="1" fontId="0" fillId="2" borderId="9" xfId="4" applyNumberFormat="1" applyFont="1" applyFill="1" applyBorder="1" applyAlignment="1">
      <alignment horizontal="center" vertical="center" wrapText="1"/>
    </xf>
    <xf numFmtId="0" fontId="73"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95"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0" fillId="0" borderId="0" xfId="0" applyFont="1" applyAlignment="1">
      <alignment horizontal="center" vertical="center" wrapText="1"/>
    </xf>
    <xf numFmtId="0" fontId="46" fillId="8" borderId="1" xfId="4" applyFont="1" applyFill="1" applyBorder="1" applyAlignment="1">
      <alignment horizontal="center" vertical="center" wrapText="1"/>
    </xf>
    <xf numFmtId="0" fontId="46" fillId="8" borderId="11" xfId="4" applyFont="1" applyFill="1" applyBorder="1" applyAlignment="1">
      <alignment horizontal="center" vertical="center" wrapText="1"/>
    </xf>
    <xf numFmtId="0" fontId="46" fillId="8" borderId="14" xfId="4" applyFont="1" applyFill="1" applyBorder="1" applyAlignment="1">
      <alignment horizontal="center" vertical="center" wrapText="1"/>
    </xf>
    <xf numFmtId="0" fontId="74" fillId="0" borderId="1" xfId="0" applyFont="1" applyBorder="1" applyAlignment="1">
      <alignment horizontal="center" vertical="center" wrapText="1"/>
    </xf>
    <xf numFmtId="0" fontId="84"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8"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5"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2" fontId="34" fillId="0" borderId="1" xfId="0" applyNumberFormat="1" applyFont="1" applyBorder="1"/>
    <xf numFmtId="0" fontId="26" fillId="0" borderId="1" xfId="0" applyFont="1" applyBorder="1" applyAlignment="1">
      <alignment horizontal="right"/>
    </xf>
    <xf numFmtId="0" fontId="16" fillId="0" borderId="9" xfId="2" applyFont="1" applyBorder="1" applyAlignment="1">
      <alignment horizontal="center" vertical="center" wrapText="1"/>
    </xf>
    <xf numFmtId="0" fontId="33" fillId="0" borderId="13" xfId="0" applyFont="1" applyBorder="1" applyAlignment="1">
      <alignment horizontal="center" vertical="center" wrapText="1"/>
    </xf>
    <xf numFmtId="10" fontId="45" fillId="0" borderId="0" xfId="3" applyNumberFormat="1" applyFont="1" applyAlignment="1">
      <alignment horizontal="center" vertical="center" wrapText="1"/>
    </xf>
    <xf numFmtId="174" fontId="99" fillId="10" borderId="4" xfId="1" applyNumberFormat="1" applyFont="1" applyFill="1" applyBorder="1" applyAlignment="1">
      <alignment horizontal="center" vertical="center" wrapText="1"/>
    </xf>
    <xf numFmtId="10" fontId="89" fillId="10" borderId="1" xfId="3" applyNumberFormat="1" applyFont="1" applyFill="1" applyBorder="1" applyAlignment="1">
      <alignment horizontal="center" vertical="center"/>
    </xf>
    <xf numFmtId="0" fontId="81" fillId="11" borderId="0" xfId="0" applyFont="1" applyFill="1" applyAlignment="1">
      <alignment horizontal="center" vertical="center" wrapText="1"/>
    </xf>
    <xf numFmtId="0" fontId="33" fillId="0" borderId="0" xfId="0" applyFont="1" applyAlignment="1">
      <alignment horizontal="center" vertical="center"/>
    </xf>
    <xf numFmtId="3" fontId="41" fillId="0" borderId="0" xfId="0" applyNumberFormat="1" applyFont="1" applyAlignment="1">
      <alignment horizontal="center"/>
    </xf>
    <xf numFmtId="4" fontId="49" fillId="0" borderId="1" xfId="0" quotePrefix="1" applyNumberFormat="1" applyFont="1" applyBorder="1" applyAlignment="1">
      <alignment horizontal="center" vertical="center" wrapText="1"/>
    </xf>
    <xf numFmtId="164" fontId="99" fillId="10" borderId="1" xfId="0" applyNumberFormat="1" applyFont="1" applyFill="1" applyBorder="1" applyAlignment="1">
      <alignment horizontal="center" vertical="center" wrapText="1"/>
    </xf>
    <xf numFmtId="43" fontId="45" fillId="0" borderId="0" xfId="1" applyFont="1" applyBorder="1" applyAlignment="1">
      <alignment horizontal="center" vertical="center" wrapText="1"/>
    </xf>
    <xf numFmtId="0" fontId="0" fillId="0" borderId="9" xfId="0" applyBorder="1" applyAlignment="1">
      <alignment horizontal="right"/>
    </xf>
    <xf numFmtId="43" fontId="45" fillId="0" borderId="9" xfId="1" applyFont="1" applyBorder="1" applyAlignment="1">
      <alignment horizontal="center"/>
    </xf>
    <xf numFmtId="0" fontId="0" fillId="0" borderId="2" xfId="0" applyBorder="1"/>
    <xf numFmtId="43" fontId="27" fillId="0" borderId="1" xfId="1" quotePrefix="1" applyFont="1" applyBorder="1" applyAlignment="1">
      <alignment horizontal="center"/>
    </xf>
    <xf numFmtId="164" fontId="33" fillId="2" borderId="1" xfId="0" applyNumberFormat="1" applyFont="1" applyFill="1" applyBorder="1"/>
    <xf numFmtId="2" fontId="33" fillId="0" borderId="0" xfId="0" applyNumberFormat="1" applyFont="1"/>
    <xf numFmtId="0" fontId="101" fillId="11" borderId="0" xfId="0" applyFont="1" applyFill="1"/>
    <xf numFmtId="0" fontId="102" fillId="11" borderId="0" xfId="0" applyFont="1" applyFill="1"/>
    <xf numFmtId="0" fontId="16" fillId="0" borderId="11" xfId="2" applyFont="1" applyBorder="1" applyAlignment="1">
      <alignment horizontal="left" vertical="center" wrapText="1"/>
    </xf>
    <xf numFmtId="0" fontId="16" fillId="0" borderId="9" xfId="2" applyFont="1" applyBorder="1" applyAlignment="1">
      <alignment horizontal="left" vertical="center" wrapText="1"/>
    </xf>
    <xf numFmtId="2" fontId="3" fillId="0" borderId="21" xfId="2" quotePrefix="1" applyNumberFormat="1" applyFont="1" applyBorder="1" applyAlignment="1">
      <alignment horizontal="center" vertical="center" wrapText="1"/>
    </xf>
    <xf numFmtId="0" fontId="16" fillId="0" borderId="0" xfId="2" applyFont="1" applyAlignment="1">
      <alignment horizontal="left" vertical="center" wrapText="1"/>
    </xf>
    <xf numFmtId="164" fontId="3" fillId="0" borderId="1" xfId="2" applyNumberFormat="1" applyFont="1" applyBorder="1" applyAlignment="1">
      <alignment horizontal="center" vertical="center" wrapText="1"/>
    </xf>
    <xf numFmtId="2" fontId="3" fillId="0" borderId="1" xfId="2" applyNumberFormat="1" applyFont="1" applyBorder="1" applyAlignment="1">
      <alignment horizontal="center" vertical="center" wrapText="1"/>
    </xf>
    <xf numFmtId="14" fontId="17" fillId="2" borderId="1" xfId="2" applyNumberFormat="1" applyFont="1" applyFill="1" applyBorder="1" applyAlignment="1">
      <alignment horizontal="center" vertical="center" wrapText="1"/>
    </xf>
    <xf numFmtId="0" fontId="58" fillId="0" borderId="1" xfId="2" applyFont="1" applyBorder="1" applyAlignment="1">
      <alignment horizontal="center" vertical="center" wrapText="1"/>
    </xf>
    <xf numFmtId="14" fontId="39" fillId="2" borderId="1" xfId="0" applyNumberFormat="1" applyFont="1" applyFill="1" applyBorder="1" applyAlignment="1">
      <alignment horizontal="center" vertical="center" wrapText="1"/>
    </xf>
    <xf numFmtId="4" fontId="64" fillId="2" borderId="2" xfId="0" applyNumberFormat="1" applyFont="1" applyFill="1" applyBorder="1" applyAlignment="1">
      <alignment horizontal="right"/>
    </xf>
    <xf numFmtId="4" fontId="31" fillId="4" borderId="1" xfId="0" applyNumberFormat="1" applyFont="1" applyFill="1" applyBorder="1" applyAlignment="1">
      <alignment horizontal="center" vertical="center"/>
    </xf>
    <xf numFmtId="10" fontId="31" fillId="4" borderId="1" xfId="3" applyNumberFormat="1" applyFont="1" applyFill="1" applyBorder="1" applyAlignment="1">
      <alignment horizontal="center" vertical="center"/>
    </xf>
    <xf numFmtId="10" fontId="31" fillId="4" borderId="1" xfId="3" quotePrefix="1" applyNumberFormat="1" applyFont="1" applyFill="1" applyBorder="1" applyAlignment="1">
      <alignment horizontal="center" vertical="center"/>
    </xf>
    <xf numFmtId="0" fontId="39" fillId="4" borderId="1" xfId="0" applyFont="1" applyFill="1" applyBorder="1" applyAlignment="1">
      <alignment horizontal="center" vertical="center"/>
    </xf>
    <xf numFmtId="4" fontId="31" fillId="4" borderId="1" xfId="0" quotePrefix="1" applyNumberFormat="1" applyFont="1" applyFill="1" applyBorder="1" applyAlignment="1">
      <alignment horizontal="center" vertical="center"/>
    </xf>
    <xf numFmtId="10" fontId="3" fillId="4" borderId="1" xfId="3" quotePrefix="1" applyNumberFormat="1" applyFont="1" applyFill="1" applyBorder="1" applyAlignment="1">
      <alignment horizontal="center" vertical="center"/>
    </xf>
    <xf numFmtId="10" fontId="3" fillId="4" borderId="1" xfId="3" applyNumberFormat="1" applyFont="1" applyFill="1" applyBorder="1" applyAlignment="1">
      <alignment horizontal="center" vertical="center"/>
    </xf>
    <xf numFmtId="10" fontId="39" fillId="4" borderId="1" xfId="3" applyNumberFormat="1" applyFont="1" applyFill="1" applyBorder="1" applyAlignment="1">
      <alignment horizontal="center" vertical="center"/>
    </xf>
    <xf numFmtId="182" fontId="3" fillId="4" borderId="1" xfId="3" applyNumberFormat="1" applyFont="1" applyFill="1" applyBorder="1" applyAlignment="1">
      <alignment horizontal="center" vertical="center"/>
    </xf>
    <xf numFmtId="165" fontId="39" fillId="4" borderId="11" xfId="0" applyNumberFormat="1" applyFont="1" applyFill="1" applyBorder="1" applyAlignment="1">
      <alignment horizontal="center" vertical="center"/>
    </xf>
    <xf numFmtId="4" fontId="31" fillId="4" borderId="6" xfId="0" quotePrefix="1" applyNumberFormat="1" applyFont="1" applyFill="1" applyBorder="1" applyAlignment="1">
      <alignment horizontal="center" vertical="center"/>
    </xf>
    <xf numFmtId="4" fontId="31" fillId="4" borderId="10" xfId="0" applyNumberFormat="1" applyFont="1" applyFill="1" applyBorder="1" applyAlignment="1">
      <alignment horizontal="center" vertical="center"/>
    </xf>
    <xf numFmtId="4" fontId="31" fillId="4" borderId="9" xfId="0" applyNumberFormat="1" applyFont="1" applyFill="1" applyBorder="1" applyAlignment="1">
      <alignment horizontal="center" vertical="center"/>
    </xf>
    <xf numFmtId="4" fontId="31" fillId="4" borderId="10" xfId="0" quotePrefix="1" applyNumberFormat="1" applyFont="1" applyFill="1" applyBorder="1" applyAlignment="1">
      <alignment horizontal="center" vertical="center"/>
    </xf>
    <xf numFmtId="4" fontId="31" fillId="4" borderId="6" xfId="0" applyNumberFormat="1" applyFont="1" applyFill="1" applyBorder="1" applyAlignment="1">
      <alignment horizontal="center" vertical="center"/>
    </xf>
    <xf numFmtId="165" fontId="108" fillId="13" borderId="0" xfId="0" applyNumberFormat="1" applyFont="1" applyFill="1" applyAlignment="1">
      <alignment horizontal="center" vertical="center"/>
    </xf>
    <xf numFmtId="4" fontId="3" fillId="4" borderId="10" xfId="0" quotePrefix="1" applyNumberFormat="1" applyFont="1" applyFill="1" applyBorder="1" applyAlignment="1">
      <alignment horizontal="center" vertical="center"/>
    </xf>
    <xf numFmtId="4" fontId="3" fillId="4" borderId="9" xfId="0" quotePrefix="1" applyNumberFormat="1" applyFont="1" applyFill="1" applyBorder="1" applyAlignment="1">
      <alignment horizontal="center" vertical="center"/>
    </xf>
    <xf numFmtId="10" fontId="31" fillId="4" borderId="10" xfId="3" quotePrefix="1" applyNumberFormat="1" applyFont="1" applyFill="1" applyBorder="1" applyAlignment="1">
      <alignment horizontal="center" vertical="center"/>
    </xf>
    <xf numFmtId="165" fontId="39" fillId="4" borderId="1" xfId="0" applyNumberFormat="1" applyFont="1" applyFill="1" applyBorder="1" applyAlignment="1">
      <alignment horizontal="center" vertical="center"/>
    </xf>
    <xf numFmtId="0" fontId="34" fillId="0" borderId="0" xfId="0" applyFont="1" applyAlignment="1">
      <alignment horizontal="center" vertical="center"/>
    </xf>
    <xf numFmtId="43" fontId="39" fillId="0" borderId="1" xfId="1" quotePrefix="1" applyFont="1" applyBorder="1" applyAlignment="1">
      <alignment horizontal="center" vertical="center" wrapText="1"/>
    </xf>
    <xf numFmtId="166" fontId="3" fillId="0" borderId="1" xfId="3" applyNumberFormat="1" applyFont="1" applyBorder="1" applyAlignment="1">
      <alignment horizontal="center" vertical="center" wrapText="1"/>
    </xf>
    <xf numFmtId="14" fontId="0" fillId="0" borderId="1" xfId="0" applyNumberFormat="1" applyBorder="1" applyAlignment="1">
      <alignment horizontal="center" vertical="center" wrapText="1"/>
    </xf>
    <xf numFmtId="10" fontId="112" fillId="0" borderId="1" xfId="1" applyNumberFormat="1" applyFont="1" applyBorder="1" applyAlignment="1">
      <alignment horizontal="center" vertical="center" wrapText="1"/>
    </xf>
    <xf numFmtId="10" fontId="113" fillId="2" borderId="1" xfId="3" applyNumberFormat="1" applyFont="1" applyFill="1" applyBorder="1" applyAlignment="1">
      <alignment horizontal="center" vertical="center"/>
    </xf>
    <xf numFmtId="4" fontId="34" fillId="0" borderId="1" xfId="0" applyNumberFormat="1" applyFont="1" applyBorder="1" applyAlignment="1">
      <alignment horizontal="center" vertical="center"/>
    </xf>
    <xf numFmtId="4" fontId="34" fillId="15" borderId="1" xfId="0" applyNumberFormat="1" applyFont="1" applyFill="1" applyBorder="1" applyAlignment="1">
      <alignment horizontal="center" vertical="center" wrapText="1"/>
    </xf>
    <xf numFmtId="4" fontId="34" fillId="15" borderId="1" xfId="0" quotePrefix="1" applyNumberFormat="1" applyFont="1" applyFill="1" applyBorder="1" applyAlignment="1">
      <alignment horizontal="center" vertical="center" wrapText="1"/>
    </xf>
    <xf numFmtId="0" fontId="86" fillId="0" borderId="1" xfId="0" quotePrefix="1" applyFont="1" applyBorder="1" applyAlignment="1">
      <alignment horizontal="center" vertical="center" wrapText="1"/>
    </xf>
    <xf numFmtId="43" fontId="94" fillId="11" borderId="1" xfId="1" quotePrefix="1" applyFont="1" applyFill="1" applyBorder="1"/>
    <xf numFmtId="43" fontId="81" fillId="11" borderId="1" xfId="1" quotePrefix="1" applyFont="1" applyFill="1" applyBorder="1"/>
    <xf numFmtId="0" fontId="81" fillId="11" borderId="1" xfId="0" quotePrefix="1" applyFont="1" applyFill="1" applyBorder="1"/>
    <xf numFmtId="43" fontId="94" fillId="11" borderId="1" xfId="1" applyFont="1" applyFill="1" applyBorder="1"/>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0" xfId="1" applyFont="1" applyFill="1" applyBorder="1" applyAlignment="1">
      <alignment horizontal="center"/>
    </xf>
    <xf numFmtId="0" fontId="79" fillId="0" borderId="0" xfId="0" applyFont="1"/>
    <xf numFmtId="2" fontId="39" fillId="0" borderId="1" xfId="0" applyNumberFormat="1" applyFont="1" applyBorder="1" applyAlignment="1">
      <alignment horizontal="right" vertical="center" wrapText="1"/>
    </xf>
    <xf numFmtId="43" fontId="39" fillId="0" borderId="0" xfId="1" applyFont="1" applyBorder="1" applyAlignment="1">
      <alignment horizontal="center"/>
    </xf>
    <xf numFmtId="0" fontId="115" fillId="0" borderId="1" xfId="0" applyFont="1" applyBorder="1" applyAlignment="1">
      <alignment horizontal="center" vertical="center" wrapText="1"/>
    </xf>
    <xf numFmtId="165" fontId="40" fillId="0" borderId="0" xfId="0" applyNumberFormat="1" applyFont="1" applyAlignment="1">
      <alignment horizontal="center" vertical="center" wrapText="1"/>
    </xf>
    <xf numFmtId="43" fontId="34" fillId="0" borderId="0" xfId="0" applyNumberFormat="1" applyFont="1"/>
    <xf numFmtId="9" fontId="34" fillId="0" borderId="0" xfId="0" applyNumberFormat="1" applyFont="1"/>
    <xf numFmtId="2" fontId="34" fillId="2" borderId="0" xfId="0" applyNumberFormat="1" applyFont="1" applyFill="1"/>
    <xf numFmtId="0" fontId="104" fillId="11" borderId="1" xfId="0" applyFont="1" applyFill="1" applyBorder="1" applyAlignment="1">
      <alignment horizontal="center" vertical="center" wrapText="1"/>
    </xf>
    <xf numFmtId="0" fontId="104" fillId="11" borderId="10" xfId="0" applyFont="1" applyFill="1" applyBorder="1" applyAlignment="1">
      <alignment horizontal="center" vertical="center" wrapText="1"/>
    </xf>
    <xf numFmtId="0" fontId="33" fillId="0" borderId="11" xfId="0" applyFont="1" applyBorder="1" applyAlignment="1">
      <alignment horizontal="center" vertical="center" wrapText="1"/>
    </xf>
    <xf numFmtId="43" fontId="33" fillId="2" borderId="1" xfId="1" applyFont="1" applyFill="1" applyBorder="1" applyAlignment="1">
      <alignment horizontal="center" vertical="center" wrapText="1"/>
    </xf>
    <xf numFmtId="43" fontId="33" fillId="2" borderId="10" xfId="1" applyFont="1" applyFill="1" applyBorder="1" applyAlignment="1">
      <alignment horizontal="center" vertical="center" wrapText="1"/>
    </xf>
    <xf numFmtId="43" fontId="33" fillId="0" borderId="0" xfId="1" applyFont="1" applyFill="1" applyBorder="1" applyAlignment="1">
      <alignment horizontal="center" vertical="center" wrapText="1"/>
    </xf>
    <xf numFmtId="164" fontId="33" fillId="0" borderId="10" xfId="0" applyNumberFormat="1" applyFont="1" applyBorder="1" applyAlignment="1">
      <alignment horizontal="center" vertical="center" wrapText="1"/>
    </xf>
    <xf numFmtId="4" fontId="33" fillId="2" borderId="1" xfId="0" applyNumberFormat="1" applyFont="1" applyFill="1" applyBorder="1" applyAlignment="1">
      <alignment horizontal="center" vertical="center" wrapText="1"/>
    </xf>
    <xf numFmtId="4" fontId="33" fillId="2" borderId="10" xfId="0" applyNumberFormat="1" applyFont="1" applyFill="1" applyBorder="1" applyAlignment="1">
      <alignment horizontal="center" vertical="center" wrapText="1"/>
    </xf>
    <xf numFmtId="4" fontId="33" fillId="0" borderId="0" xfId="0" applyNumberFormat="1" applyFont="1" applyAlignment="1">
      <alignment horizontal="center" vertical="center" wrapText="1"/>
    </xf>
    <xf numFmtId="4" fontId="33" fillId="0" borderId="1" xfId="0" applyNumberFormat="1" applyFont="1" applyBorder="1" applyAlignment="1">
      <alignment horizontal="center" vertical="center" wrapText="1"/>
    </xf>
    <xf numFmtId="4" fontId="33" fillId="0" borderId="10" xfId="0" applyNumberFormat="1" applyFont="1" applyBorder="1" applyAlignment="1">
      <alignment horizontal="center" vertical="center" wrapText="1"/>
    </xf>
    <xf numFmtId="184" fontId="33" fillId="0" borderId="1" xfId="0" applyNumberFormat="1" applyFont="1" applyBorder="1" applyAlignment="1">
      <alignment horizontal="center" vertical="center" wrapText="1"/>
    </xf>
    <xf numFmtId="184" fontId="33" fillId="0" borderId="0" xfId="0" applyNumberFormat="1" applyFont="1" applyAlignment="1">
      <alignment horizontal="center" vertical="center" wrapText="1"/>
    </xf>
    <xf numFmtId="181" fontId="33" fillId="0" borderId="1" xfId="0" applyNumberFormat="1" applyFont="1" applyBorder="1" applyAlignment="1">
      <alignment horizontal="center" vertical="center" wrapText="1"/>
    </xf>
    <xf numFmtId="181" fontId="33" fillId="0" borderId="0" xfId="0" applyNumberFormat="1" applyFont="1" applyAlignment="1">
      <alignment horizontal="center" vertical="center" wrapText="1"/>
    </xf>
    <xf numFmtId="185" fontId="33" fillId="0" borderId="1" xfId="0" applyNumberFormat="1" applyFont="1" applyBorder="1" applyAlignment="1">
      <alignment horizontal="center" vertical="center" wrapText="1"/>
    </xf>
    <xf numFmtId="4" fontId="33" fillId="15" borderId="1" xfId="0" applyNumberFormat="1" applyFont="1" applyFill="1" applyBorder="1" applyAlignment="1">
      <alignment horizontal="center" vertical="center" wrapText="1"/>
    </xf>
    <xf numFmtId="2" fontId="34" fillId="0" borderId="0" xfId="0" applyNumberFormat="1" applyFont="1"/>
    <xf numFmtId="171" fontId="105" fillId="13" borderId="9" xfId="1" applyNumberFormat="1" applyFont="1" applyFill="1" applyBorder="1" applyAlignment="1">
      <alignment horizontal="right" vertical="center" wrapText="1"/>
    </xf>
    <xf numFmtId="171" fontId="105" fillId="13" borderId="1" xfId="1" applyNumberFormat="1" applyFont="1" applyFill="1" applyBorder="1" applyAlignment="1">
      <alignment horizontal="right" vertical="center" wrapText="1"/>
    </xf>
    <xf numFmtId="43" fontId="105" fillId="13" borderId="1" xfId="1" applyFont="1" applyFill="1" applyBorder="1" applyAlignment="1">
      <alignment horizontal="right" vertical="center"/>
    </xf>
    <xf numFmtId="10" fontId="108" fillId="13" borderId="9" xfId="3" applyNumberFormat="1" applyFont="1" applyFill="1" applyBorder="1" applyAlignment="1">
      <alignment horizontal="center" vertical="center"/>
    </xf>
    <xf numFmtId="10" fontId="108" fillId="13" borderId="1" xfId="3" applyNumberFormat="1" applyFont="1" applyFill="1" applyBorder="1" applyAlignment="1">
      <alignment horizontal="center" vertical="center"/>
    </xf>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86" fillId="2" borderId="3" xfId="0" applyFont="1" applyFill="1" applyBorder="1" applyAlignment="1">
      <alignment horizontal="center" vertical="center" wrapText="1"/>
    </xf>
    <xf numFmtId="0" fontId="86" fillId="2" borderId="5" xfId="0" applyFont="1" applyFill="1" applyBorder="1" applyAlignment="1">
      <alignment horizontal="center" vertical="center" wrapText="1"/>
    </xf>
    <xf numFmtId="0" fontId="86" fillId="2" borderId="11" xfId="0" applyFont="1" applyFill="1" applyBorder="1" applyAlignment="1">
      <alignment horizontal="center" vertical="center" wrapText="1"/>
    </xf>
    <xf numFmtId="0" fontId="86" fillId="2" borderId="12" xfId="0" applyFont="1" applyFill="1" applyBorder="1" applyAlignment="1">
      <alignment horizontal="center" vertical="center" wrapText="1"/>
    </xf>
    <xf numFmtId="0" fontId="86" fillId="2" borderId="6" xfId="0" applyFont="1" applyFill="1" applyBorder="1" applyAlignment="1">
      <alignment horizontal="center" vertical="center" wrapText="1"/>
    </xf>
    <xf numFmtId="0" fontId="86"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67"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33" fillId="0" borderId="0" xfId="0" applyFont="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108" fillId="13" borderId="10" xfId="0" applyFont="1" applyFill="1" applyBorder="1" applyAlignment="1">
      <alignment vertical="center" wrapText="1"/>
    </xf>
    <xf numFmtId="0" fontId="108" fillId="13" borderId="9" xfId="0" applyFont="1" applyFill="1" applyBorder="1" applyAlignment="1">
      <alignment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 xfId="0" applyFont="1" applyBorder="1" applyAlignment="1">
      <alignment horizontal="center"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51"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5" fillId="2" borderId="10" xfId="0" applyFont="1" applyFill="1" applyBorder="1" applyAlignment="1">
      <alignment horizontal="center" vertical="center"/>
    </xf>
    <xf numFmtId="0" fontId="55" fillId="2" borderId="9" xfId="0" applyFont="1" applyFill="1" applyBorder="1" applyAlignment="1">
      <alignment horizontal="center" vertic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0" fontId="56" fillId="2" borderId="10" xfId="0" applyFont="1" applyFill="1" applyBorder="1" applyAlignment="1">
      <alignment horizontal="center"/>
    </xf>
    <xf numFmtId="0" fontId="56"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6" fillId="0" borderId="1"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7"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40" fillId="0" borderId="1" xfId="0"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1" fillId="0" borderId="1" xfId="0" applyFont="1" applyBorder="1" applyAlignment="1">
      <alignment horizontal="center" vertical="center" wrapText="1"/>
    </xf>
    <xf numFmtId="0" fontId="37" fillId="0" borderId="0" xfId="0" applyFont="1" applyAlignment="1">
      <alignment horizontal="left" vertical="center" wrapText="1"/>
    </xf>
    <xf numFmtId="0" fontId="100" fillId="10" borderId="0" xfId="0" applyFont="1" applyFill="1" applyAlignment="1">
      <alignment horizontal="center" vertical="center" wrapText="1"/>
    </xf>
    <xf numFmtId="0" fontId="34" fillId="0" borderId="10" xfId="0" applyFont="1" applyBorder="1" applyAlignment="1">
      <alignment horizontal="center" vertical="center" wrapText="1"/>
    </xf>
    <xf numFmtId="0" fontId="34" fillId="0" borderId="9" xfId="0" applyFont="1" applyBorder="1" applyAlignment="1">
      <alignment horizontal="center" vertical="center" wrapText="1"/>
    </xf>
    <xf numFmtId="0" fontId="109" fillId="0" borderId="1" xfId="0" applyFont="1" applyBorder="1" applyAlignment="1">
      <alignment horizontal="right" vertical="center" wrapText="1"/>
    </xf>
    <xf numFmtId="4" fontId="31" fillId="4" borderId="1" xfId="0" applyNumberFormat="1" applyFont="1" applyFill="1" applyBorder="1" applyAlignment="1">
      <alignment horizontal="center" vertical="center"/>
    </xf>
    <xf numFmtId="0" fontId="42" fillId="0" borderId="13" xfId="0" applyFont="1" applyBorder="1" applyAlignment="1">
      <alignment horizontal="center" vertical="center" wrapText="1"/>
    </xf>
    <xf numFmtId="0" fontId="109" fillId="0" borderId="3" xfId="0" applyFont="1" applyBorder="1" applyAlignment="1">
      <alignment horizontal="center" vertical="center" wrapText="1"/>
    </xf>
    <xf numFmtId="0" fontId="109" fillId="0" borderId="4" xfId="0" applyFont="1" applyBorder="1" applyAlignment="1">
      <alignment horizontal="center" vertical="center" wrapText="1"/>
    </xf>
    <xf numFmtId="0" fontId="109" fillId="0" borderId="6" xfId="0" applyFont="1" applyBorder="1" applyAlignment="1">
      <alignment horizontal="center" vertical="center" wrapText="1"/>
    </xf>
    <xf numFmtId="0" fontId="109" fillId="0" borderId="7" xfId="0" applyFont="1" applyBorder="1" applyAlignment="1">
      <alignment horizontal="center" vertical="center" wrapText="1"/>
    </xf>
    <xf numFmtId="0" fontId="109" fillId="0" borderId="1" xfId="0" applyFont="1" applyBorder="1" applyAlignment="1">
      <alignment horizontal="center" vertical="center" wrapText="1"/>
    </xf>
    <xf numFmtId="4" fontId="31" fillId="4" borderId="10" xfId="0" applyNumberFormat="1" applyFont="1" applyFill="1" applyBorder="1" applyAlignment="1">
      <alignment horizontal="center" vertical="center"/>
    </xf>
    <xf numFmtId="4" fontId="31" fillId="4" borderId="9" xfId="0" applyNumberFormat="1" applyFont="1" applyFill="1" applyBorder="1" applyAlignment="1">
      <alignment horizontal="center" vertical="center"/>
    </xf>
    <xf numFmtId="0" fontId="109" fillId="0" borderId="10" xfId="0" applyFont="1" applyBorder="1" applyAlignment="1">
      <alignment horizontal="center" vertical="center" wrapText="1"/>
    </xf>
    <xf numFmtId="0" fontId="109" fillId="0" borderId="9" xfId="0" applyFont="1" applyBorder="1" applyAlignment="1">
      <alignment horizontal="center" vertical="center" wrapText="1"/>
    </xf>
    <xf numFmtId="0" fontId="3" fillId="0" borderId="1" xfId="0" applyFont="1" applyBorder="1" applyAlignment="1">
      <alignment vertical="center" wrapText="1"/>
    </xf>
    <xf numFmtId="4" fontId="3" fillId="4" borderId="10" xfId="0" quotePrefix="1" applyNumberFormat="1" applyFont="1" applyFill="1" applyBorder="1" applyAlignment="1">
      <alignment horizontal="center" vertical="center"/>
    </xf>
    <xf numFmtId="4" fontId="3" fillId="4" borderId="9" xfId="0" quotePrefix="1" applyNumberFormat="1" applyFont="1" applyFill="1" applyBorder="1" applyAlignment="1">
      <alignment horizontal="center" vertical="center"/>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4" fontId="3" fillId="4" borderId="1" xfId="0" quotePrefix="1" applyNumberFormat="1" applyFont="1" applyFill="1" applyBorder="1" applyAlignment="1">
      <alignment horizontal="center" vertical="center"/>
    </xf>
    <xf numFmtId="0" fontId="98" fillId="10" borderId="8" xfId="0" applyFont="1" applyFill="1" applyBorder="1" applyAlignment="1">
      <alignment horizontal="center" vertical="center" wrapText="1"/>
    </xf>
    <xf numFmtId="0" fontId="98" fillId="10" borderId="13" xfId="0" applyFont="1" applyFill="1" applyBorder="1" applyAlignment="1">
      <alignment horizontal="center" vertical="center" wrapText="1"/>
    </xf>
    <xf numFmtId="4" fontId="39" fillId="4" borderId="1" xfId="0" applyNumberFormat="1" applyFont="1" applyFill="1" applyBorder="1" applyAlignment="1">
      <alignment horizontal="center" vertical="center"/>
    </xf>
    <xf numFmtId="4" fontId="50" fillId="4" borderId="1" xfId="0" applyNumberFormat="1" applyFont="1" applyFill="1" applyBorder="1" applyAlignment="1">
      <alignment horizontal="center" vertical="center"/>
    </xf>
    <xf numFmtId="0" fontId="106" fillId="8" borderId="7" xfId="0" applyFont="1" applyFill="1" applyBorder="1" applyAlignment="1">
      <alignment horizontal="center" vertical="center" wrapText="1"/>
    </xf>
    <xf numFmtId="0" fontId="106" fillId="8" borderId="8" xfId="0" applyFont="1" applyFill="1" applyBorder="1" applyAlignment="1">
      <alignment horizontal="center" vertical="center" wrapText="1"/>
    </xf>
    <xf numFmtId="0" fontId="106" fillId="8" borderId="4" xfId="0" applyFont="1" applyFill="1" applyBorder="1" applyAlignment="1">
      <alignment horizontal="center" vertical="center" wrapText="1"/>
    </xf>
    <xf numFmtId="0" fontId="106" fillId="8" borderId="5" xfId="0" applyFont="1" applyFill="1" applyBorder="1" applyAlignment="1">
      <alignment horizontal="center" vertical="center" wrapText="1"/>
    </xf>
    <xf numFmtId="0" fontId="107" fillId="4" borderId="10" xfId="0" applyFont="1" applyFill="1" applyBorder="1" applyAlignment="1">
      <alignment horizontal="center"/>
    </xf>
    <xf numFmtId="0" fontId="107" fillId="4" borderId="9" xfId="0" applyFont="1" applyFill="1" applyBorder="1" applyAlignment="1">
      <alignment horizontal="center"/>
    </xf>
    <xf numFmtId="4" fontId="31" fillId="4" borderId="1" xfId="0" quotePrefix="1" applyNumberFormat="1" applyFont="1" applyFill="1" applyBorder="1" applyAlignment="1">
      <alignment horizontal="center" vertical="center"/>
    </xf>
    <xf numFmtId="0" fontId="3" fillId="0" borderId="15" xfId="0" applyFont="1" applyBorder="1" applyAlignment="1">
      <alignment horizontal="left" vertical="center"/>
    </xf>
    <xf numFmtId="0" fontId="8" fillId="0" borderId="0" xfId="0" applyFont="1" applyAlignment="1">
      <alignment horizontal="center"/>
    </xf>
    <xf numFmtId="4" fontId="31" fillId="4" borderId="1" xfId="0" applyNumberFormat="1" applyFont="1" applyFill="1" applyBorder="1" applyAlignment="1">
      <alignment horizontal="center" vertical="center" wrapText="1"/>
    </xf>
    <xf numFmtId="0" fontId="105" fillId="8" borderId="15" xfId="0" applyFont="1" applyFill="1" applyBorder="1" applyAlignment="1">
      <alignment horizontal="center" vertical="center" wrapText="1"/>
    </xf>
    <xf numFmtId="0" fontId="3" fillId="0" borderId="10" xfId="0" applyFont="1" applyBorder="1" applyAlignment="1">
      <alignment horizontal="left" vertical="center" wrapText="1"/>
    </xf>
    <xf numFmtId="0" fontId="26" fillId="0" borderId="15" xfId="0" applyFont="1" applyBorder="1" applyAlignment="1">
      <alignment horizontal="center" vertical="center" wrapText="1"/>
    </xf>
    <xf numFmtId="0" fontId="7" fillId="0" borderId="1" xfId="0" applyFont="1" applyBorder="1" applyAlignment="1">
      <alignment horizontal="left" vertical="center" wrapText="1"/>
    </xf>
    <xf numFmtId="0" fontId="7" fillId="0" borderId="10" xfId="0" applyFont="1" applyBorder="1" applyAlignment="1">
      <alignment horizontal="left" vertical="center" wrapText="1"/>
    </xf>
    <xf numFmtId="0" fontId="33" fillId="0" borderId="15" xfId="0" applyFont="1" applyBorder="1" applyAlignment="1">
      <alignment horizontal="center"/>
    </xf>
    <xf numFmtId="9" fontId="98" fillId="10" borderId="8" xfId="3" applyFont="1" applyFill="1" applyBorder="1" applyAlignment="1">
      <alignment horizontal="center" vertical="center" wrapText="1"/>
    </xf>
    <xf numFmtId="9" fontId="98" fillId="10" borderId="13" xfId="3" applyFont="1" applyFill="1" applyBorder="1" applyAlignment="1">
      <alignment horizontal="center" vertical="center" wrapText="1"/>
    </xf>
    <xf numFmtId="0" fontId="104" fillId="8" borderId="8" xfId="0" applyFont="1" applyFill="1" applyBorder="1" applyAlignment="1">
      <alignment horizontal="center" vertical="center" wrapText="1"/>
    </xf>
    <xf numFmtId="0" fontId="104" fillId="8" borderId="13" xfId="0" applyFont="1" applyFill="1" applyBorder="1" applyAlignment="1">
      <alignment horizontal="center" vertical="center" wrapText="1"/>
    </xf>
    <xf numFmtId="0" fontId="33" fillId="0" borderId="1" xfId="0" applyFont="1" applyBorder="1" applyAlignment="1">
      <alignment horizontal="center"/>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4" xfId="2" applyFont="1" applyBorder="1" applyAlignment="1">
      <alignment horizontal="right" vertical="center" wrapText="1"/>
    </xf>
    <xf numFmtId="0" fontId="57" fillId="0" borderId="21" xfId="0" applyFont="1" applyBorder="1" applyAlignment="1">
      <alignment horizontal="center"/>
    </xf>
    <xf numFmtId="0" fontId="57" fillId="0" borderId="22" xfId="0" applyFont="1" applyBorder="1" applyAlignment="1">
      <alignment horizontal="center"/>
    </xf>
    <xf numFmtId="0" fontId="57" fillId="0" borderId="23" xfId="0" applyFont="1" applyBorder="1" applyAlignment="1">
      <alignment horizontal="center"/>
    </xf>
    <xf numFmtId="0" fontId="53" fillId="14" borderId="15" xfId="2" applyFont="1" applyFill="1" applyBorder="1" applyAlignment="1">
      <alignment horizontal="center" vertical="center" wrapText="1"/>
    </xf>
    <xf numFmtId="0" fontId="53" fillId="14" borderId="9" xfId="2" applyFont="1" applyFill="1" applyBorder="1" applyAlignment="1">
      <alignment horizontal="center" vertical="center" wrapText="1"/>
    </xf>
    <xf numFmtId="0" fontId="53" fillId="14" borderId="7" xfId="2" applyFont="1" applyFill="1" applyBorder="1" applyAlignment="1">
      <alignment horizontal="center" vertical="center" wrapText="1"/>
    </xf>
    <xf numFmtId="0" fontId="16" fillId="0" borderId="10" xfId="2" applyFont="1" applyBorder="1" applyAlignment="1">
      <alignment horizontal="center" vertical="center" wrapText="1"/>
    </xf>
    <xf numFmtId="14" fontId="17" fillId="2" borderId="6" xfId="0" quotePrefix="1" applyNumberFormat="1" applyFont="1" applyFill="1" applyBorder="1" applyAlignment="1">
      <alignment horizontal="center" vertical="center" wrapText="1"/>
    </xf>
    <xf numFmtId="0" fontId="26" fillId="0" borderId="10" xfId="0" applyFont="1" applyBorder="1" applyAlignment="1">
      <alignment horizontal="center"/>
    </xf>
    <xf numFmtId="0" fontId="26" fillId="0" borderId="15" xfId="0" applyFont="1" applyBorder="1" applyAlignment="1">
      <alignment horizontal="center"/>
    </xf>
    <xf numFmtId="0" fontId="17" fillId="2" borderId="1" xfId="2" applyFont="1" applyFill="1" applyBorder="1" applyAlignment="1">
      <alignment horizontal="center"/>
    </xf>
    <xf numFmtId="3" fontId="16" fillId="2" borderId="10" xfId="2" applyNumberFormat="1"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7" fillId="2" borderId="1" xfId="2" quotePrefix="1" applyFont="1" applyFill="1" applyBorder="1" applyAlignment="1">
      <alignment horizontal="center"/>
    </xf>
    <xf numFmtId="0" fontId="16" fillId="2" borderId="10" xfId="2" applyFont="1" applyFill="1" applyBorder="1" applyAlignment="1">
      <alignment horizontal="center"/>
    </xf>
    <xf numFmtId="1" fontId="17" fillId="2" borderId="1" xfId="2" applyNumberFormat="1" applyFont="1" applyFill="1" applyBorder="1" applyAlignment="1">
      <alignment horizontal="center"/>
    </xf>
    <xf numFmtId="0" fontId="103" fillId="14" borderId="7" xfId="2" applyFont="1" applyFill="1" applyBorder="1" applyAlignment="1">
      <alignment horizontal="center" vertical="center" wrapText="1"/>
    </xf>
    <xf numFmtId="0" fontId="103" fillId="14" borderId="8" xfId="2" applyFont="1" applyFill="1" applyBorder="1" applyAlignment="1">
      <alignment horizontal="center" vertical="center" wrapText="1"/>
    </xf>
    <xf numFmtId="0" fontId="103" fillId="14" borderId="11" xfId="2" applyFont="1" applyFill="1" applyBorder="1" applyAlignment="1">
      <alignment horizontal="center" vertical="center" wrapText="1"/>
    </xf>
    <xf numFmtId="0" fontId="103" fillId="14" borderId="0" xfId="2" applyFont="1" applyFill="1" applyAlignment="1">
      <alignment horizontal="center" vertical="center" wrapText="1"/>
    </xf>
    <xf numFmtId="0" fontId="103" fillId="14" borderId="12" xfId="2" applyFont="1" applyFill="1" applyBorder="1" applyAlignment="1">
      <alignment horizontal="center" vertical="center" wrapText="1"/>
    </xf>
    <xf numFmtId="0" fontId="17" fillId="2" borderId="10" xfId="2" applyFont="1" applyFill="1" applyBorder="1" applyAlignment="1">
      <alignment horizontal="center"/>
    </xf>
    <xf numFmtId="0" fontId="17" fillId="2" borderId="15" xfId="2" applyFont="1" applyFill="1" applyBorder="1" applyAlignment="1">
      <alignment horizontal="center"/>
    </xf>
    <xf numFmtId="0" fontId="17" fillId="2" borderId="9" xfId="2" applyFont="1" applyFill="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16" fillId="0" borderId="17" xfId="2" applyFont="1" applyBorder="1" applyAlignment="1">
      <alignment horizontal="center"/>
    </xf>
    <xf numFmtId="0" fontId="16" fillId="0" borderId="9"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33" fillId="0" borderId="0" xfId="0" applyFont="1" applyAlignment="1">
      <alignment horizontal="center" wrapText="1"/>
    </xf>
    <xf numFmtId="0" fontId="104" fillId="10" borderId="7" xfId="0" applyFont="1" applyFill="1" applyBorder="1" applyAlignment="1">
      <alignment horizontal="left" vertical="center" wrapText="1"/>
    </xf>
    <xf numFmtId="174" fontId="16" fillId="0" borderId="0" xfId="1" applyNumberFormat="1" applyFont="1" applyBorder="1" applyAlignment="1">
      <alignment horizontal="center" vertical="center" wrapText="1"/>
    </xf>
    <xf numFmtId="174" fontId="111" fillId="11" borderId="7" xfId="1" applyNumberFormat="1" applyFont="1" applyFill="1" applyBorder="1" applyAlignment="1">
      <alignment horizontal="center" vertical="center" wrapText="1"/>
    </xf>
    <xf numFmtId="174" fontId="111" fillId="11" borderId="8" xfId="1" applyNumberFormat="1" applyFont="1" applyFill="1" applyBorder="1" applyAlignment="1">
      <alignment horizontal="center" vertical="center" wrapText="1"/>
    </xf>
    <xf numFmtId="174" fontId="99" fillId="10" borderId="1" xfId="1" applyNumberFormat="1" applyFont="1" applyFill="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16" fillId="0" borderId="1" xfId="1"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25" fillId="0" borderId="1" xfId="0" applyFont="1" applyBorder="1" applyAlignment="1">
      <alignment horizontal="center"/>
    </xf>
    <xf numFmtId="0" fontId="25" fillId="0" borderId="2" xfId="0" applyFont="1" applyBorder="1" applyAlignment="1">
      <alignment horizontal="center"/>
    </xf>
    <xf numFmtId="177" fontId="39" fillId="0" borderId="1" xfId="0" applyNumberFormat="1" applyFont="1" applyBorder="1" applyAlignment="1">
      <alignment horizontal="center"/>
    </xf>
    <xf numFmtId="0" fontId="114" fillId="11" borderId="4" xfId="0" applyFont="1" applyFill="1" applyBorder="1" applyAlignment="1">
      <alignment horizontal="center"/>
    </xf>
    <xf numFmtId="0" fontId="35" fillId="2" borderId="1" xfId="0" applyFont="1" applyFill="1" applyBorder="1" applyAlignment="1">
      <alignment horizontal="center" vertical="center" wrapText="1"/>
    </xf>
    <xf numFmtId="0" fontId="110" fillId="10" borderId="0" xfId="0" applyFont="1" applyFill="1" applyAlignment="1">
      <alignment horizontal="left" vertical="center" wrapText="1"/>
    </xf>
    <xf numFmtId="0" fontId="35" fillId="0" borderId="1" xfId="0" applyFont="1" applyBorder="1" applyAlignment="1">
      <alignment horizontal="center" vertical="center" wrapText="1"/>
    </xf>
    <xf numFmtId="0" fontId="94" fillId="11" borderId="1" xfId="0" applyFont="1" applyFill="1" applyBorder="1" applyAlignment="1">
      <alignment horizontal="center" vertical="center" wrapText="1"/>
    </xf>
    <xf numFmtId="0" fontId="33" fillId="0" borderId="11" xfId="0" applyFont="1" applyBorder="1" applyAlignment="1">
      <alignment horizontal="center" vertical="center" wrapText="1"/>
    </xf>
    <xf numFmtId="0" fontId="33" fillId="0" borderId="10" xfId="0" applyFont="1" applyBorder="1" applyAlignment="1">
      <alignment horizontal="center"/>
    </xf>
    <xf numFmtId="0" fontId="33" fillId="0" borderId="9" xfId="0" applyFont="1" applyBorder="1" applyAlignment="1">
      <alignment horizontal="center"/>
    </xf>
    <xf numFmtId="43" fontId="45" fillId="0" borderId="1" xfId="1" applyFont="1" applyFill="1" applyBorder="1" applyAlignment="1"/>
    <xf numFmtId="43" fontId="45" fillId="0" borderId="10" xfId="1" applyFont="1" applyFill="1" applyBorder="1" applyAlignment="1"/>
    <xf numFmtId="43" fontId="45" fillId="0" borderId="15" xfId="1" applyFont="1" applyFill="1" applyBorder="1" applyAlignment="1"/>
    <xf numFmtId="43" fontId="45" fillId="0" borderId="9" xfId="1" applyFont="1" applyFill="1" applyBorder="1" applyAlignment="1"/>
    <xf numFmtId="0" fontId="114" fillId="11" borderId="0" xfId="0" applyFont="1" applyFill="1" applyAlignment="1">
      <alignment horizontal="center"/>
    </xf>
    <xf numFmtId="43" fontId="33" fillId="0" borderId="10" xfId="1" applyFont="1" applyBorder="1" applyAlignment="1">
      <alignment horizontal="center"/>
    </xf>
    <xf numFmtId="43" fontId="33" fillId="0" borderId="9" xfId="1" applyFont="1" applyBorder="1" applyAlignment="1">
      <alignment horizontal="center"/>
    </xf>
    <xf numFmtId="0" fontId="49" fillId="0" borderId="10" xfId="0" applyFont="1" applyBorder="1" applyAlignment="1">
      <alignment horizontal="left"/>
    </xf>
    <xf numFmtId="0" fontId="49" fillId="0" borderId="15" xfId="0" applyFont="1" applyBorder="1" applyAlignment="1">
      <alignment horizontal="left"/>
    </xf>
    <xf numFmtId="0" fontId="49" fillId="0" borderId="9" xfId="0" applyFont="1" applyBorder="1" applyAlignment="1">
      <alignment horizontal="left"/>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32" fillId="0" borderId="1" xfId="0" applyFont="1" applyBorder="1" applyAlignment="1">
      <alignment horizontal="center" vertical="center" wrapText="1"/>
    </xf>
    <xf numFmtId="0" fontId="32" fillId="0" borderId="10" xfId="0" applyFont="1" applyBorder="1" applyAlignment="1">
      <alignment horizontal="center"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8" fillId="4" borderId="1" xfId="0" applyFont="1" applyFill="1" applyBorder="1" applyAlignment="1">
      <alignment horizontal="center" vertical="center" wrapText="1"/>
    </xf>
    <xf numFmtId="0" fontId="4" fillId="0" borderId="0" xfId="0" applyFont="1" applyAlignment="1">
      <alignment horizontal="center"/>
    </xf>
    <xf numFmtId="0" fontId="21" fillId="0" borderId="0" xfId="0" applyFont="1" applyAlignment="1">
      <alignment horizontal="left"/>
    </xf>
    <xf numFmtId="0" fontId="0" fillId="0" borderId="0" xfId="0"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3" fillId="2" borderId="6" xfId="2" applyFont="1" applyFill="1" applyBorder="1" applyAlignment="1">
      <alignment horizontal="center" vertical="center" wrapText="1"/>
    </xf>
    <xf numFmtId="0" fontId="53"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7" fillId="0" borderId="1" xfId="2"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7" fillId="0" borderId="10" xfId="2" applyFont="1" applyBorder="1" applyAlignment="1">
      <alignment horizontal="center"/>
    </xf>
    <xf numFmtId="0" fontId="57" fillId="0" borderId="15" xfId="2" applyFont="1" applyBorder="1" applyAlignment="1">
      <alignment horizontal="center"/>
    </xf>
    <xf numFmtId="0" fontId="57" fillId="0" borderId="9" xfId="2" applyFont="1" applyBorder="1" applyAlignment="1">
      <alignment horizontal="center"/>
    </xf>
    <xf numFmtId="0" fontId="57" fillId="0" borderId="3" xfId="2" applyFont="1" applyBorder="1" applyAlignment="1">
      <alignment horizontal="center"/>
    </xf>
    <xf numFmtId="0" fontId="57" fillId="0" borderId="4" xfId="2" applyFont="1" applyBorder="1" applyAlignment="1">
      <alignment horizontal="center"/>
    </xf>
    <xf numFmtId="0" fontId="57"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quotePrefix="1" applyFont="1" applyBorder="1" applyAlignment="1">
      <alignment horizontal="center"/>
    </xf>
    <xf numFmtId="0" fontId="100" fillId="13" borderId="0" xfId="0" applyFont="1" applyFill="1" applyAlignment="1">
      <alignment horizontal="center" vertical="center" wrapText="1"/>
    </xf>
    <xf numFmtId="0" fontId="53" fillId="2" borderId="10" xfId="2" applyFont="1" applyFill="1" applyBorder="1" applyAlignment="1">
      <alignment horizontal="center" vertical="center" wrapText="1"/>
    </xf>
    <xf numFmtId="0" fontId="53" fillId="2" borderId="15" xfId="2" applyFont="1" applyFill="1" applyBorder="1" applyAlignment="1">
      <alignment horizontal="center" vertical="center" wrapText="1"/>
    </xf>
    <xf numFmtId="0" fontId="53" fillId="2" borderId="9" xfId="2" applyFont="1" applyFill="1" applyBorder="1" applyAlignment="1">
      <alignment horizontal="center" vertical="center" wrapText="1"/>
    </xf>
    <xf numFmtId="0" fontId="55" fillId="5" borderId="15" xfId="0" applyFont="1" applyFill="1" applyBorder="1" applyAlignment="1">
      <alignment horizontal="center" vertical="center" wrapText="1"/>
    </xf>
    <xf numFmtId="0" fontId="55" fillId="5" borderId="9" xfId="0" applyFont="1" applyFill="1" applyBorder="1" applyAlignment="1">
      <alignment horizontal="center" vertical="center" wrapText="1"/>
    </xf>
    <xf numFmtId="0" fontId="3" fillId="0" borderId="15" xfId="0" applyFont="1" applyBorder="1" applyAlignment="1">
      <alignment vertical="center" wrapText="1"/>
    </xf>
    <xf numFmtId="0" fontId="62" fillId="5" borderId="7" xfId="0" applyFont="1" applyFill="1" applyBorder="1" applyAlignment="1">
      <alignment horizontal="center" vertical="center" wrapText="1"/>
    </xf>
    <xf numFmtId="0" fontId="62" fillId="5" borderId="8" xfId="0" applyFont="1" applyFill="1" applyBorder="1" applyAlignment="1">
      <alignment horizontal="center" vertical="center" wrapText="1"/>
    </xf>
    <xf numFmtId="0" fontId="60" fillId="4" borderId="8" xfId="0" applyFont="1" applyFill="1" applyBorder="1" applyAlignment="1">
      <alignment horizontal="center" vertical="center" wrapText="1"/>
    </xf>
    <xf numFmtId="0" fontId="60"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7" fillId="0" borderId="0" xfId="0" applyFont="1" applyAlignment="1">
      <alignment horizontal="left" vertical="center"/>
    </xf>
    <xf numFmtId="0" fontId="3" fillId="0" borderId="15"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54" fillId="0" borderId="0" xfId="0" applyFont="1" applyAlignment="1">
      <alignment horizontal="left"/>
    </xf>
    <xf numFmtId="0" fontId="62" fillId="6" borderId="4" xfId="0" applyFont="1" applyFill="1" applyBorder="1" applyAlignment="1">
      <alignment horizontal="center" vertical="center" wrapText="1"/>
    </xf>
    <xf numFmtId="0" fontId="62" fillId="6" borderId="5" xfId="0" applyFont="1" applyFill="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81" fillId="10" borderId="0" xfId="0" applyFont="1" applyFill="1" applyAlignment="1">
      <alignment horizontal="center" vertical="center" wrapText="1"/>
    </xf>
    <xf numFmtId="0" fontId="35" fillId="0" borderId="15" xfId="0" applyFont="1" applyBorder="1" applyAlignment="1">
      <alignment horizontal="center" vertical="center" wrapText="1"/>
    </xf>
    <xf numFmtId="174" fontId="99" fillId="11" borderId="1" xfId="1" applyNumberFormat="1" applyFont="1" applyFill="1" applyBorder="1" applyAlignment="1">
      <alignment horizontal="center" vertical="center" wrapText="1"/>
    </xf>
    <xf numFmtId="0" fontId="81" fillId="11" borderId="10" xfId="0" applyFont="1" applyFill="1" applyBorder="1" applyAlignment="1">
      <alignment horizontal="center" vertical="center" wrapText="1"/>
    </xf>
    <xf numFmtId="0" fontId="81" fillId="11" borderId="9" xfId="0" applyFont="1" applyFill="1" applyBorder="1" applyAlignment="1">
      <alignment horizontal="center" vertical="center" wrapText="1"/>
    </xf>
    <xf numFmtId="0" fontId="49" fillId="0" borderId="1" xfId="0" applyFont="1" applyBorder="1" applyAlignment="1">
      <alignment horizontal="center" vertical="center" wrapText="1"/>
    </xf>
    <xf numFmtId="0" fontId="94" fillId="10" borderId="7" xfId="0" applyFont="1" applyFill="1" applyBorder="1" applyAlignment="1">
      <alignment horizontal="center" vertical="center"/>
    </xf>
    <xf numFmtId="0" fontId="104" fillId="8" borderId="1" xfId="0" applyFont="1" applyFill="1" applyBorder="1" applyAlignment="1">
      <alignment horizontal="center" vertical="center" wrapText="1"/>
    </xf>
    <xf numFmtId="0" fontId="104" fillId="8"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117" fillId="0" borderId="10" xfId="0" applyFont="1" applyBorder="1" applyAlignment="1">
      <alignment horizontal="left" vertical="center" wrapText="1"/>
    </xf>
    <xf numFmtId="0" fontId="117" fillId="0" borderId="15" xfId="0" applyFont="1" applyBorder="1" applyAlignment="1">
      <alignment horizontal="left" vertical="center" wrapText="1"/>
    </xf>
    <xf numFmtId="0" fontId="117" fillId="0" borderId="9" xfId="0" applyFont="1" applyBorder="1" applyAlignment="1">
      <alignment horizontal="left" vertical="center" wrapText="1"/>
    </xf>
    <xf numFmtId="0" fontId="33" fillId="0" borderId="1" xfId="0" applyFont="1" applyBorder="1" applyAlignment="1">
      <alignment horizontal="left" vertical="center" wrapText="1"/>
    </xf>
    <xf numFmtId="0" fontId="33" fillId="0" borderId="10" xfId="0" applyFont="1" applyBorder="1" applyAlignment="1">
      <alignment horizontal="left" vertical="center" wrapText="1"/>
    </xf>
    <xf numFmtId="0" fontId="33" fillId="0" borderId="15" xfId="0" applyFont="1" applyBorder="1" applyAlignment="1">
      <alignment horizontal="left" vertical="center" wrapText="1"/>
    </xf>
    <xf numFmtId="0" fontId="33" fillId="0" borderId="9" xfId="0" applyFont="1" applyBorder="1" applyAlignment="1">
      <alignment horizontal="left" vertical="center" wrapText="1"/>
    </xf>
    <xf numFmtId="0" fontId="117" fillId="0" borderId="10" xfId="0" quotePrefix="1" applyFont="1" applyBorder="1" applyAlignment="1">
      <alignment horizontal="left" vertical="center" wrapText="1"/>
    </xf>
    <xf numFmtId="0" fontId="117" fillId="0" borderId="10" xfId="0" applyFont="1" applyBorder="1" applyAlignment="1">
      <alignment horizontal="center" vertical="center" wrapText="1"/>
    </xf>
    <xf numFmtId="0" fontId="117" fillId="0" borderId="15" xfId="0" applyFont="1" applyBorder="1" applyAlignment="1">
      <alignment horizontal="center" vertical="center" wrapText="1"/>
    </xf>
    <xf numFmtId="0" fontId="117" fillId="0" borderId="9" xfId="0" applyFont="1" applyBorder="1" applyAlignment="1">
      <alignment horizontal="center" vertical="center" wrapText="1"/>
    </xf>
    <xf numFmtId="0" fontId="34" fillId="2"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49"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4" fillId="0" borderId="15" xfId="0" applyFont="1" applyBorder="1" applyAlignment="1">
      <alignment horizontal="center" vertical="center" wrapText="1"/>
    </xf>
    <xf numFmtId="0" fontId="40" fillId="2" borderId="1" xfId="0" applyFont="1" applyFill="1" applyBorder="1" applyAlignment="1">
      <alignment horizontal="center" vertical="center" wrapText="1"/>
    </xf>
    <xf numFmtId="0" fontId="34" fillId="0" borderId="0" xfId="0" applyFont="1" applyAlignment="1">
      <alignment horizontal="center" vertical="center" wrapText="1"/>
    </xf>
    <xf numFmtId="0" fontId="97" fillId="8" borderId="7" xfId="0" applyFont="1" applyFill="1" applyBorder="1" applyAlignment="1">
      <alignment horizontal="center" vertical="center"/>
    </xf>
    <xf numFmtId="0" fontId="34" fillId="0" borderId="1" xfId="0" applyFont="1" applyBorder="1" applyAlignment="1">
      <alignment horizontal="center"/>
    </xf>
    <xf numFmtId="0" fontId="34" fillId="0" borderId="0" xfId="0" applyFont="1" applyAlignment="1">
      <alignment horizontal="center"/>
    </xf>
    <xf numFmtId="0" fontId="40" fillId="0" borderId="7" xfId="0" applyFont="1" applyBorder="1" applyAlignment="1">
      <alignment horizontal="center" vertical="center"/>
    </xf>
    <xf numFmtId="0" fontId="34" fillId="0" borderId="10" xfId="0" applyFont="1" applyBorder="1" applyAlignment="1">
      <alignment horizontal="center"/>
    </xf>
    <xf numFmtId="0" fontId="34" fillId="0" borderId="9" xfId="0" applyFont="1" applyBorder="1" applyAlignment="1">
      <alignment horizontal="center"/>
    </xf>
    <xf numFmtId="0" fontId="82" fillId="9" borderId="1" xfId="0" applyFont="1" applyFill="1" applyBorder="1" applyAlignment="1">
      <alignment horizontal="center" vertical="center" wrapText="1"/>
    </xf>
    <xf numFmtId="0" fontId="81"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2" fillId="0" borderId="10" xfId="4" applyNumberFormat="1" applyFont="1" applyBorder="1" applyAlignment="1">
      <alignment horizontal="center" vertical="center" wrapText="1"/>
    </xf>
    <xf numFmtId="2" fontId="72" fillId="0" borderId="9" xfId="4" applyNumberFormat="1" applyFont="1" applyBorder="1" applyAlignment="1">
      <alignment horizontal="center" vertical="center" wrapText="1"/>
    </xf>
    <xf numFmtId="0" fontId="70" fillId="2" borderId="10" xfId="0" applyFont="1" applyFill="1" applyBorder="1" applyAlignment="1">
      <alignment horizontal="center" vertical="center" wrapText="1"/>
    </xf>
    <xf numFmtId="0" fontId="70" fillId="2" borderId="15" xfId="0" applyFont="1" applyFill="1" applyBorder="1" applyAlignment="1">
      <alignment horizontal="center" vertical="center" wrapText="1"/>
    </xf>
    <xf numFmtId="0" fontId="70"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3" fillId="11" borderId="0" xfId="4" applyFont="1" applyFill="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88" fillId="2" borderId="0" xfId="4" applyFont="1" applyFill="1" applyAlignment="1">
      <alignment horizontal="center" vertical="center" wrapText="1"/>
    </xf>
    <xf numFmtId="0" fontId="12" fillId="0" borderId="1" xfId="0" applyFont="1" applyBorder="1" applyAlignment="1">
      <alignment horizontal="center" vertical="center" wrapText="1"/>
    </xf>
    <xf numFmtId="0" fontId="89" fillId="8" borderId="1" xfId="0"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96" fillId="10" borderId="0" xfId="4" applyFont="1" applyFill="1" applyAlignment="1">
      <alignment horizontal="center" vertical="center" wrapText="1"/>
    </xf>
    <xf numFmtId="2" fontId="84" fillId="0" borderId="10" xfId="4" applyNumberFormat="1" applyFont="1" applyBorder="1" applyAlignment="1">
      <alignment horizontal="center" vertical="center" wrapText="1"/>
    </xf>
    <xf numFmtId="2" fontId="84"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49" fillId="0" borderId="2" xfId="0" applyFont="1" applyBorder="1" applyAlignment="1">
      <alignment horizontal="left" vertical="center" wrapText="1"/>
    </xf>
    <xf numFmtId="0" fontId="49" fillId="0" borderId="13" xfId="0" applyFont="1" applyBorder="1" applyAlignment="1">
      <alignment horizontal="lef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43" fontId="33" fillId="0" borderId="1" xfId="1" applyFont="1" applyFill="1" applyBorder="1" applyAlignment="1">
      <alignment vertical="center" wrapText="1"/>
    </xf>
    <xf numFmtId="43" fontId="33" fillId="0" borderId="1" xfId="1" applyFont="1" applyBorder="1" applyAlignment="1">
      <alignment vertical="center" wrapText="1"/>
    </xf>
    <xf numFmtId="43" fontId="33" fillId="0" borderId="0" xfId="1" applyFont="1" applyBorder="1" applyAlignment="1">
      <alignment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676275</xdr:colOff>
          <xdr:row>36</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586740</xdr:colOff>
      <xdr:row>50</xdr:row>
      <xdr:rowOff>45720</xdr:rowOff>
    </xdr:from>
    <xdr:to>
      <xdr:col>10</xdr:col>
      <xdr:colOff>899160</xdr:colOff>
      <xdr:row>52</xdr:row>
      <xdr:rowOff>76200</xdr:rowOff>
    </xdr:to>
    <xdr:cxnSp macro="">
      <xdr:nvCxnSpPr>
        <xdr:cNvPr id="2" name="Connecteur droit avec flèche 1">
          <a:extLst>
            <a:ext uri="{FF2B5EF4-FFF2-40B4-BE49-F238E27FC236}">
              <a16:creationId xmlns:a16="http://schemas.microsoft.com/office/drawing/2014/main" id="{D59F5811-C527-4506-9645-99024AD39971}"/>
            </a:ext>
          </a:extLst>
        </xdr:cNvPr>
        <xdr:cNvCxnSpPr/>
      </xdr:nvCxnSpPr>
      <xdr:spPr>
        <a:xfrm flipH="1">
          <a:off x="10317480" y="2918460"/>
          <a:ext cx="312420" cy="533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11</xdr:col>
      <xdr:colOff>734633</xdr:colOff>
      <xdr:row>30</xdr:row>
      <xdr:rowOff>147420</xdr:rowOff>
    </xdr:to>
    <xdr:pic>
      <xdr:nvPicPr>
        <xdr:cNvPr id="2" name="Image 1">
          <a:extLst>
            <a:ext uri="{FF2B5EF4-FFF2-40B4-BE49-F238E27FC236}">
              <a16:creationId xmlns:a16="http://schemas.microsoft.com/office/drawing/2014/main" id="{08FF8EA3-6955-6D66-679C-068869586A39}"/>
            </a:ext>
          </a:extLst>
        </xdr:cNvPr>
        <xdr:cNvPicPr>
          <a:picLocks noChangeAspect="1"/>
        </xdr:cNvPicPr>
      </xdr:nvPicPr>
      <xdr:blipFill>
        <a:blip xmlns:r="http://schemas.openxmlformats.org/officeDocument/2006/relationships" r:embed="rId1"/>
        <a:stretch>
          <a:fillRect/>
        </a:stretch>
      </xdr:blipFill>
      <xdr:spPr>
        <a:xfrm>
          <a:off x="792480" y="365760"/>
          <a:ext cx="8659433" cy="526806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12</xdr:col>
      <xdr:colOff>161573</xdr:colOff>
      <xdr:row>50</xdr:row>
      <xdr:rowOff>23412</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63</xdr:row>
      <xdr:rowOff>196215</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77</xdr:row>
      <xdr:rowOff>150495</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1</xdr:col>
      <xdr:colOff>19050</xdr:colOff>
      <xdr:row>23</xdr:row>
      <xdr:rowOff>400050</xdr:rowOff>
    </xdr:from>
    <xdr:to>
      <xdr:col>3</xdr:col>
      <xdr:colOff>200025</xdr:colOff>
      <xdr:row>27</xdr:row>
      <xdr:rowOff>19050</xdr:rowOff>
    </xdr:to>
    <xdr:cxnSp macro="">
      <xdr:nvCxnSpPr>
        <xdr:cNvPr id="13" name="Connecteur droit avec flèche 12">
          <a:extLst>
            <a:ext uri="{FF2B5EF4-FFF2-40B4-BE49-F238E27FC236}">
              <a16:creationId xmlns:a16="http://schemas.microsoft.com/office/drawing/2014/main" id="{C388D4DE-DB47-4F1F-B775-9461D264D2D2}"/>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4" name="Connecteur droit avec flèche 13">
          <a:extLst>
            <a:ext uri="{FF2B5EF4-FFF2-40B4-BE49-F238E27FC236}">
              <a16:creationId xmlns:a16="http://schemas.microsoft.com/office/drawing/2014/main" id="{006FE8EF-A6EE-4090-A57B-854A7A3C4CD2}"/>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5" name="Connecteur droit avec flèche 14">
          <a:extLst>
            <a:ext uri="{FF2B5EF4-FFF2-40B4-BE49-F238E27FC236}">
              <a16:creationId xmlns:a16="http://schemas.microsoft.com/office/drawing/2014/main" id="{52C05224-EDF0-4926-BB72-069D02EBD251}"/>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6" name="Connecteur droit avec flèche 15">
          <a:extLst>
            <a:ext uri="{FF2B5EF4-FFF2-40B4-BE49-F238E27FC236}">
              <a16:creationId xmlns:a16="http://schemas.microsoft.com/office/drawing/2014/main" id="{E3EC387A-1E1F-4CE2-B01A-28F267DAAFB6}"/>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7" name="Connecteur droit avec flèche 16">
          <a:extLst>
            <a:ext uri="{FF2B5EF4-FFF2-40B4-BE49-F238E27FC236}">
              <a16:creationId xmlns:a16="http://schemas.microsoft.com/office/drawing/2014/main" id="{829B6CF5-639F-4730-BA1B-FE20F62FBD6A}"/>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8" name="Connecteur droit avec flèche 17">
          <a:extLst>
            <a:ext uri="{FF2B5EF4-FFF2-40B4-BE49-F238E27FC236}">
              <a16:creationId xmlns:a16="http://schemas.microsoft.com/office/drawing/2014/main" id="{DA829DA7-4AF9-42C7-ADB8-DFC0C17528D1}"/>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23</xdr:row>
      <xdr:rowOff>400050</xdr:rowOff>
    </xdr:from>
    <xdr:to>
      <xdr:col>3</xdr:col>
      <xdr:colOff>200025</xdr:colOff>
      <xdr:row>27</xdr:row>
      <xdr:rowOff>19050</xdr:rowOff>
    </xdr:to>
    <xdr:cxnSp macro="">
      <xdr:nvCxnSpPr>
        <xdr:cNvPr id="19" name="Connecteur droit avec flèche 18">
          <a:extLst>
            <a:ext uri="{FF2B5EF4-FFF2-40B4-BE49-F238E27FC236}">
              <a16:creationId xmlns:a16="http://schemas.microsoft.com/office/drawing/2014/main" id="{D0F37002-5736-4CCE-9F80-618B016C4B00}"/>
            </a:ext>
          </a:extLst>
        </xdr:cNvPr>
        <xdr:cNvCxnSpPr/>
      </xdr:nvCxnSpPr>
      <xdr:spPr>
        <a:xfrm flipH="1">
          <a:off x="1152525" y="9867900"/>
          <a:ext cx="1876425" cy="12573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36</xdr:row>
      <xdr:rowOff>0</xdr:rowOff>
    </xdr:from>
    <xdr:to>
      <xdr:col>12</xdr:col>
      <xdr:colOff>161573</xdr:colOff>
      <xdr:row>47</xdr:row>
      <xdr:rowOff>23412</xdr:rowOff>
    </xdr:to>
    <xdr:pic>
      <xdr:nvPicPr>
        <xdr:cNvPr id="20" name="Image 19">
          <a:extLst>
            <a:ext uri="{FF2B5EF4-FFF2-40B4-BE49-F238E27FC236}">
              <a16:creationId xmlns:a16="http://schemas.microsoft.com/office/drawing/2014/main" id="{B7B67D6C-699E-4F04-ADD9-5541BC604849}"/>
            </a:ext>
          </a:extLst>
        </xdr:cNvPr>
        <xdr:cNvPicPr>
          <a:picLocks noChangeAspect="1"/>
        </xdr:cNvPicPr>
      </xdr:nvPicPr>
      <xdr:blipFill>
        <a:blip xmlns:r="http://schemas.openxmlformats.org/officeDocument/2006/relationships" r:embed="rId1"/>
        <a:stretch>
          <a:fillRect/>
        </a:stretch>
      </xdr:blipFill>
      <xdr:spPr>
        <a:xfrm>
          <a:off x="0" y="14992350"/>
          <a:ext cx="10810523" cy="4004862"/>
        </a:xfrm>
        <a:prstGeom prst="rect">
          <a:avLst/>
        </a:prstGeom>
      </xdr:spPr>
    </xdr:pic>
    <xdr:clientData/>
  </xdr:twoCellAnchor>
  <xdr:twoCellAnchor editAs="oneCell">
    <xdr:from>
      <xdr:col>1</xdr:col>
      <xdr:colOff>0</xdr:colOff>
      <xdr:row>47</xdr:row>
      <xdr:rowOff>0</xdr:rowOff>
    </xdr:from>
    <xdr:to>
      <xdr:col>11</xdr:col>
      <xdr:colOff>737235</xdr:colOff>
      <xdr:row>60</xdr:row>
      <xdr:rowOff>196215</xdr:rowOff>
    </xdr:to>
    <xdr:pic>
      <xdr:nvPicPr>
        <xdr:cNvPr id="21" name="Image 20">
          <a:extLst>
            <a:ext uri="{FF2B5EF4-FFF2-40B4-BE49-F238E27FC236}">
              <a16:creationId xmlns:a16="http://schemas.microsoft.com/office/drawing/2014/main" id="{D4486EE8-6C0A-4B4E-B49A-84398C536059}"/>
            </a:ext>
          </a:extLst>
        </xdr:cNvPr>
        <xdr:cNvPicPr>
          <a:picLocks noChangeAspect="1"/>
        </xdr:cNvPicPr>
      </xdr:nvPicPr>
      <xdr:blipFill>
        <a:blip xmlns:r="http://schemas.openxmlformats.org/officeDocument/2006/relationships" r:embed="rId2"/>
        <a:stretch>
          <a:fillRect/>
        </a:stretch>
      </xdr:blipFill>
      <xdr:spPr>
        <a:xfrm>
          <a:off x="1133475" y="19497675"/>
          <a:ext cx="9490710" cy="4901565"/>
        </a:xfrm>
        <a:prstGeom prst="rect">
          <a:avLst/>
        </a:prstGeom>
      </xdr:spPr>
    </xdr:pic>
    <xdr:clientData/>
  </xdr:twoCellAnchor>
  <xdr:twoCellAnchor editAs="oneCell">
    <xdr:from>
      <xdr:col>1</xdr:col>
      <xdr:colOff>1</xdr:colOff>
      <xdr:row>59</xdr:row>
      <xdr:rowOff>0</xdr:rowOff>
    </xdr:from>
    <xdr:to>
      <xdr:col>11</xdr:col>
      <xdr:colOff>754381</xdr:colOff>
      <xdr:row>74</xdr:row>
      <xdr:rowOff>150495</xdr:rowOff>
    </xdr:to>
    <xdr:pic>
      <xdr:nvPicPr>
        <xdr:cNvPr id="22" name="Image 21">
          <a:extLst>
            <a:ext uri="{FF2B5EF4-FFF2-40B4-BE49-F238E27FC236}">
              <a16:creationId xmlns:a16="http://schemas.microsoft.com/office/drawing/2014/main" id="{C96BB036-DC96-4EF7-84A2-32BE414E92E7}"/>
            </a:ext>
          </a:extLst>
        </xdr:cNvPr>
        <xdr:cNvPicPr>
          <a:picLocks noChangeAspect="1"/>
        </xdr:cNvPicPr>
      </xdr:nvPicPr>
      <xdr:blipFill>
        <a:blip xmlns:r="http://schemas.openxmlformats.org/officeDocument/2006/relationships" r:embed="rId3"/>
        <a:stretch>
          <a:fillRect/>
        </a:stretch>
      </xdr:blipFill>
      <xdr:spPr>
        <a:xfrm>
          <a:off x="1133476" y="24412575"/>
          <a:ext cx="9507855" cy="55797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https://d.docs.live.net/fa77d33fea66a78b/Desktop/1%20PAIE%202025/LIVRE%202025/CHAPITRE%202/TRAVAIL%20CHAPITRE%202%20DEF%20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C:\Users\Bienvenue\Desktop\EXCEL%20POUR%20LA%20PAIE\MMAT\FICHIERS%20EXCEL\1.%20CADRE%20MAQUETTE%202023.xlsx" TargetMode="External"/><Relationship Id="rId1" Type="http://schemas.openxmlformats.org/officeDocument/2006/relationships/externalLinkPath" Target="https://d.docs.live.net/Users/Bienvenue/Desktop/EXCEL%20POUR%20LA%20PAIE/MMAT/FICHIERS%20EXCEL%20MALADIE%20EXERCICES/1.%20CADRE%20MAQUETTE%20202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Users/Bienvenue/Desktop/EXCEL%20POUR%20LA%20PAIE/MAQUETTE/TRAMES%20A%20REALISER.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20ESSAI.xlsx" TargetMode="External"/><Relationship Id="rId1" Type="http://schemas.openxmlformats.org/officeDocument/2006/relationships/externalLinkPath" Target="https://d.docs.live.net/fa77d33fea66a78b/Desktop/1%20PAIE%202025/CHAPITRES%2012/EXPLICATIONS%20FEUILLES%20HEURES%20SUPPLEMENTAIRES%202025%20ESSA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Bienvenue/Desktop/PAIE%202020/FICHIERS%20DEFINITIFS%20PRETS%20A%20IMPRIMER/TR/EXERCICE%205/1.%202020.%20EXERCICE%2053%20TR%2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2/EXPLICATIONS%20FEUILLES%20HEURES%20SUPPLEMENTAIRES%202025.xlsx" TargetMode="External"/><Relationship Id="rId1" Type="http://schemas.openxmlformats.org/officeDocument/2006/relationships/externalLinkPath" Target="https://d.docs.live.net/fa77d33fea66a78b/Desktop/1%20PAIE%202025/CHAPITRES%2012/EXPLICATIONS%20FEUILLES%20HEURES%20SUPPLEMENTAIRES%202025.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d.docs.live.net/fa77d33fea66a78b/Desktop/EXCEL%20POUR%20LA%20PAIE%202024/LE%20LIVRE/TALBE%20DES%20TAUX%20ET%20AUTRES%20EXTRAITS%20POUR%20LE%20LIVRE.xlsm" TargetMode="External"/><Relationship Id="rId1" Type="http://schemas.openxmlformats.org/officeDocument/2006/relationships/externalLinkPath" Target="https://d.docs.live.net/fa77d33fea66a78b/Desktop/EXCEL%20POUR%20LA%20PAIE%202024/LE%20LIVRE/TALBE%20DES%20TAUX%20ET%20AUTRES%20EXTRAITS%20POUR%20LE%20LIVRE.xlsm"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PC\Desktop\PAIE%202026\CDD%202026\EX%201%20CDD%20COURT%20CORRECTION%202026%20DEF%201.xlsx" TargetMode="External"/><Relationship Id="rId1" Type="http://schemas.openxmlformats.org/officeDocument/2006/relationships/externalLinkPath" Target="/Users/PC/Desktop/PAIE%202026/CDD%202026/EX%201%20CDD%20COURT%20CORRECTION%202026%20DEF%201.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C:\Users\PC\Desktop\PAIE%202026\CDD%202026\EX%202%20CDD%20COURT%20SUR%203%20%20MOIS%202026%20DEF.xlsm" TargetMode="External"/><Relationship Id="rId1" Type="http://schemas.openxmlformats.org/officeDocument/2006/relationships/externalLinkPath" Target="/Users/PC/Desktop/PAIE%202026/CDD%202026/EX%202%20CDD%20COURT%20SUR%203%20%20MOIS%202026%20DEF.xlsm"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https://d.docs.live.net/fa77d33fea66a78b/Desktop/1%20PAIE%202025/CHAPITRES%2010%20-11/2025/CADRES/CHAPITRE%2010%20%20%20ENONCE%20%20CADRE%205000%20euros%202025.xlsm" TargetMode="External"/><Relationship Id="rId1" Type="http://schemas.openxmlformats.org/officeDocument/2006/relationships/externalLinkPath" Target="https://d.docs.live.net/fa77d33fea66a78b/Desktop/1%20PAIE%202025/CHAPITRES%2010%20-11/2025/CADRES/CHAPITRE%2010%20%20%20ENONCE%20%20CADRE%205000%20euros%20202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efreshError="1">
        <row r="1">
          <cell r="A1" t="str">
            <v>Libellé</v>
          </cell>
          <cell r="B1"/>
          <cell r="C1" t="str">
            <v>Cotisations 
salariales</v>
          </cell>
          <cell r="D1" t="str">
            <v>Cotisations 
patronales</v>
          </cell>
        </row>
        <row r="2">
          <cell r="A2" t="str">
            <v xml:space="preserve">Cotisations et Contributions Obligatoires </v>
          </cell>
          <cell r="B2"/>
          <cell r="C2"/>
          <cell r="D2"/>
        </row>
        <row r="3">
          <cell r="A3" t="str">
            <v>Sécurité sociale Maladie Maternité Invalidité Décés 1.</v>
          </cell>
          <cell r="B3"/>
          <cell r="C3"/>
          <cell r="D3">
            <v>7.0000000000000007E-2</v>
          </cell>
        </row>
        <row r="4">
          <cell r="A4" t="str">
            <v xml:space="preserve">Sécurité sociale Maladie Maternité Invalidité Décés 2. </v>
          </cell>
          <cell r="B4"/>
          <cell r="C4"/>
          <cell r="D4">
            <v>0.06</v>
          </cell>
        </row>
        <row r="5">
          <cell r="A5" t="str">
            <v xml:space="preserve">Mutuelle Cadres </v>
          </cell>
          <cell r="B5"/>
          <cell r="C5">
            <v>1.12E-2</v>
          </cell>
          <cell r="D5">
            <v>1.6799999999999999E-2</v>
          </cell>
        </row>
        <row r="6">
          <cell r="A6" t="str">
            <v>Assurance décés des cadres  (TA)</v>
          </cell>
          <cell r="B6"/>
          <cell r="C6"/>
          <cell r="D6">
            <v>1.4999999999999999E-2</v>
          </cell>
        </row>
        <row r="7">
          <cell r="A7" t="str">
            <v xml:space="preserve">Mutuelle Non Cadres </v>
          </cell>
          <cell r="B7"/>
          <cell r="C7">
            <v>0.01</v>
          </cell>
          <cell r="D7">
            <v>1.7999999999999999E-2</v>
          </cell>
        </row>
      </sheetData>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E"/>
      <sheetName val="MATRICE IJSS ABSENCE "/>
      <sheetName val="MASQUE DE SAISIE "/>
      <sheetName val="BP VERSION JANVIER 2023"/>
      <sheetName val="BP FORMAT JUILLET 2023"/>
      <sheetName val="TAUX NEUTRE "/>
      <sheetName val="TABLE DES TAUX 2023 "/>
      <sheetName val="RED. GEN. de COT. Janv"/>
      <sheetName val="RED GEN DE COT MOIS ISOLE"/>
      <sheetName val="HEURES SUPPLEMENTAIRES "/>
      <sheetName val="TRAME VIERGE BP JANVIER 2023"/>
      <sheetName val="TRAME VIERGE JUILLET 2023 "/>
      <sheetName val="calcul HEURES SUPP"/>
    </sheetNames>
    <sheetDataSet>
      <sheetData sheetId="0" refreshError="1">
        <row r="5">
          <cell r="D5">
            <v>2200</v>
          </cell>
        </row>
        <row r="20">
          <cell r="C20">
            <v>2200</v>
          </cell>
        </row>
        <row r="21">
          <cell r="C21">
            <v>2200</v>
          </cell>
        </row>
        <row r="22">
          <cell r="C22">
            <v>2600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ow r="22">
          <cell r="D22">
            <v>1.6199999999999999E-2</v>
          </cell>
        </row>
        <row r="23">
          <cell r="D23">
            <v>2.0999999999999999E-3</v>
          </cell>
        </row>
        <row r="24">
          <cell r="D24">
            <v>2.0999999999999999E-3</v>
          </cell>
        </row>
        <row r="26">
          <cell r="D26">
            <v>1E-3</v>
          </cell>
        </row>
        <row r="27">
          <cell r="D27">
            <v>5.0000000000000001E-3</v>
          </cell>
        </row>
        <row r="28">
          <cell r="D28">
            <v>3.2000000000000001E-2</v>
          </cell>
        </row>
        <row r="29">
          <cell r="D29">
            <v>3.0000000000000001E-3</v>
          </cell>
        </row>
        <row r="30">
          <cell r="D30">
            <v>0.08</v>
          </cell>
        </row>
      </sheetData>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BLE DES TAUX 2025"/>
      <sheetName val="EXPLICATIONS "/>
      <sheetName val="TRAME DU BP 1"/>
      <sheetName val="TRAME DU BP 2"/>
      <sheetName val=" HEURES SUPPLEMENTAIRES "/>
      <sheetName val="Feuil1"/>
    </sheetNames>
    <sheetDataSet>
      <sheetData sheetId="0" refreshError="1"/>
      <sheetData sheetId="1" refreshError="1"/>
      <sheetData sheetId="2" refreshError="1"/>
      <sheetData sheetId="3" refreshError="1">
        <row r="13">
          <cell r="J13">
            <v>20000</v>
          </cell>
        </row>
        <row r="43">
          <cell r="G43">
            <v>531.87</v>
          </cell>
        </row>
        <row r="65">
          <cell r="F65">
            <v>1191.18</v>
          </cell>
        </row>
        <row r="66">
          <cell r="F66">
            <v>508</v>
          </cell>
        </row>
        <row r="67">
          <cell r="F67">
            <v>190.55</v>
          </cell>
        </row>
        <row r="68">
          <cell r="F68">
            <v>0</v>
          </cell>
        </row>
        <row r="69">
          <cell r="F69">
            <v>81.260000000000005</v>
          </cell>
        </row>
        <row r="72">
          <cell r="F72">
            <v>4721.6500000000005</v>
          </cell>
        </row>
        <row r="75">
          <cell r="G75">
            <v>531.87</v>
          </cell>
        </row>
      </sheetData>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sque de Saisie"/>
      <sheetName val="Taux Neutre"/>
      <sheetName val="Feuil2"/>
      <sheetName val="Feuil3"/>
      <sheetName val="Feuil6"/>
      <sheetName val="Feuil1"/>
      <sheetName val="Table des Taux 2024"/>
      <sheetName val="Feuil5"/>
      <sheetName val="BP Version Janvier 2023"/>
      <sheetName val="Feuil4"/>
      <sheetName val="Feuil7"/>
      <sheetName val="BP Format Juillet 2023"/>
      <sheetName val="Feuille de Contrôle "/>
      <sheetName val="Feuil8"/>
      <sheetName val="Heures Supplémentaires"/>
      <sheetName val="Red. Gen. de Cot. Janv"/>
      <sheetName val="Red. Gen. de  Cot. Mois  Isolé"/>
      <sheetName val="TR Matrice Cotisations "/>
      <sheetName val="TR Matrice Net Imposable"/>
      <sheetName val="Feuille de Contrôle Vierge "/>
      <sheetName val="Matrice IJSS Maladie"/>
      <sheetName val="Matrice IJSS Maternité"/>
      <sheetName val="Matrice IJSS AT"/>
      <sheetName val="Matrice Val Abs"/>
      <sheetName val="TRAME VIERGE BP JANVIER 2023"/>
      <sheetName val="TRAME VIERGE JUILLET 2023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57">
          <cell r="D57">
            <v>0.11310000000000001</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TATION "/>
      <sheetName val="INTRODUCTION "/>
      <sheetName val="THEMES TRAITES "/>
      <sheetName val="CPF CDD "/>
      <sheetName val="TABLE DES TAUX 2026 "/>
      <sheetName val="SUJET CDD "/>
      <sheetName val="CORRECTION "/>
      <sheetName val="CORRECTION RGDU "/>
      <sheetName val="MATRICE RGDU "/>
      <sheetName val="MATRICE VAL ABS "/>
      <sheetName val="MASQUE DE SAISIE "/>
      <sheetName val="BP VERSION JANVIER 2023"/>
      <sheetName val="BP FORMAT JUILLET 2023"/>
      <sheetName val="FEUILLE DE CONTROLE "/>
      <sheetName val="TAUX NEUTRE "/>
      <sheetName val="DSN "/>
      <sheetName val="HEURES SUPPLEMENTAIRES "/>
    </sheetNames>
    <sheetDataSet>
      <sheetData sheetId="0" refreshError="1"/>
      <sheetData sheetId="1" refreshError="1"/>
      <sheetData sheetId="2" refreshError="1"/>
      <sheetData sheetId="3" refreshError="1"/>
      <sheetData sheetId="4" refreshError="1"/>
      <sheetData sheetId="5" refreshError="1"/>
      <sheetData sheetId="6">
        <row r="29">
          <cell r="F29">
            <v>151.66999999999999</v>
          </cell>
        </row>
        <row r="46">
          <cell r="F46">
            <v>101.11</v>
          </cell>
        </row>
      </sheetData>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CHEMA "/>
      <sheetName val="Matrice Val. Abs; "/>
      <sheetName val="TR Matrice Cotisations M1 "/>
      <sheetName val="TR Matrice Net Imposable M1"/>
      <sheetName val="TR Matrice Cotisations M2"/>
      <sheetName val="TR Matrice Cotisations M3"/>
      <sheetName val="TR Matrice Net Imposable M2"/>
      <sheetName val="TR Matrice Net Imposable M3"/>
      <sheetName val="Table des Taux 2026"/>
      <sheetName val="TAUX NEUTRE MOIS 1"/>
      <sheetName val="TAUX NEUTRE MOIS 2"/>
      <sheetName val="TAUX NEUTRE MOIS 3"/>
      <sheetName val="A LIRE ENONCE "/>
      <sheetName val="JOURS FERIES "/>
      <sheetName val="ENONCE CORRECTION "/>
      <sheetName val="CORRECTION 1 "/>
      <sheetName val="MASQUE DE SAISIE "/>
      <sheetName val="MOIS 1 "/>
      <sheetName val="HEURES SUPP. MOIS 1 "/>
      <sheetName val="MOIS 2 "/>
      <sheetName val="HEURES SUPP. MOIS 2"/>
      <sheetName val="MOIS 3"/>
      <sheetName val="HEURES SUPP. MOIS 3"/>
      <sheetName val="SUIVI RETRAITE "/>
      <sheetName val="CET "/>
      <sheetName val="DSN CET "/>
      <sheetName val="Matrice IJSS Maladie"/>
      <sheetName val="Matrice IJSS Maternité"/>
      <sheetName val="Matrice IJSS AT"/>
      <sheetName val="Matrice Val Abs"/>
      <sheetName val="Feuille de Contrôle Vierge "/>
    </sheetNames>
    <sheetDataSet>
      <sheetData sheetId="0"/>
      <sheetData sheetId="1"/>
      <sheetData sheetId="2"/>
      <sheetData sheetId="3"/>
      <sheetData sheetId="4"/>
      <sheetData sheetId="5"/>
      <sheetData sheetId="6"/>
      <sheetData sheetId="7"/>
      <sheetData sheetId="8">
        <row r="54">
          <cell r="D54">
            <v>12.02</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et Correction "/>
      <sheetName val="Table des Taux 2025"/>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s>
    <sheetDataSet>
      <sheetData sheetId="0"/>
      <sheetData sheetId="1">
        <row r="51">
          <cell r="D51">
            <v>3925</v>
          </cell>
        </row>
        <row r="53">
          <cell r="D53">
            <v>11.88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7.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42"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700" t="s">
        <v>491</v>
      </c>
      <c r="K1" s="700"/>
      <c r="L1" s="700"/>
      <c r="M1" s="700"/>
      <c r="N1" s="700"/>
      <c r="O1" s="700"/>
      <c r="P1" s="700"/>
    </row>
    <row r="3" spans="2:16" x14ac:dyDescent="0.25">
      <c r="J3" s="58" t="s">
        <v>492</v>
      </c>
      <c r="M3" s="58"/>
      <c r="N3" s="58"/>
      <c r="O3" s="58"/>
    </row>
    <row r="4" spans="2:16" x14ac:dyDescent="0.25">
      <c r="L4" s="58" t="s">
        <v>493</v>
      </c>
      <c r="M4" s="58"/>
      <c r="N4" s="58"/>
      <c r="O4" s="58"/>
    </row>
    <row r="5" spans="2:16" x14ac:dyDescent="0.25">
      <c r="L5" s="58" t="s">
        <v>494</v>
      </c>
      <c r="M5" s="58"/>
      <c r="N5" s="58"/>
      <c r="O5" s="58"/>
    </row>
    <row r="6" spans="2:16" x14ac:dyDescent="0.25">
      <c r="L6" s="58"/>
      <c r="M6" s="58"/>
      <c r="N6" s="58"/>
      <c r="O6" s="58"/>
    </row>
    <row r="7" spans="2:16" ht="18.75" x14ac:dyDescent="0.25">
      <c r="B7" s="701" t="s">
        <v>495</v>
      </c>
      <c r="C7" s="702"/>
      <c r="D7" s="509"/>
      <c r="E7" s="509"/>
      <c r="I7" s="707" t="s">
        <v>496</v>
      </c>
      <c r="J7" s="708"/>
      <c r="L7" s="58" t="s">
        <v>497</v>
      </c>
      <c r="M7" s="58"/>
      <c r="N7" s="58"/>
      <c r="O7" s="58"/>
    </row>
    <row r="8" spans="2:16" ht="18.75" x14ac:dyDescent="0.25">
      <c r="B8" s="703"/>
      <c r="C8" s="704"/>
      <c r="D8" s="509"/>
      <c r="E8" s="509"/>
      <c r="I8" s="709"/>
      <c r="J8" s="710"/>
      <c r="L8" s="58"/>
      <c r="M8" s="58"/>
      <c r="N8" s="58"/>
      <c r="O8" s="58"/>
    </row>
    <row r="9" spans="2:16" ht="18.75" x14ac:dyDescent="0.25">
      <c r="B9" s="703"/>
      <c r="C9" s="704"/>
      <c r="D9" s="509"/>
      <c r="E9" s="509"/>
      <c r="I9" s="709"/>
      <c r="J9" s="710"/>
      <c r="L9" s="58" t="s">
        <v>498</v>
      </c>
      <c r="M9" s="58"/>
      <c r="N9" s="58"/>
      <c r="O9" s="58"/>
    </row>
    <row r="10" spans="2:16" ht="18.75" x14ac:dyDescent="0.25">
      <c r="B10" s="703"/>
      <c r="C10" s="704"/>
      <c r="D10" s="509"/>
      <c r="E10" s="509"/>
      <c r="I10" s="709"/>
      <c r="J10" s="710"/>
      <c r="L10" s="58"/>
      <c r="M10" s="58"/>
      <c r="N10" s="58"/>
      <c r="O10" s="58"/>
    </row>
    <row r="11" spans="2:16" ht="18.75" x14ac:dyDescent="0.25">
      <c r="B11" s="703"/>
      <c r="C11" s="704"/>
      <c r="D11" s="509"/>
      <c r="E11" s="509"/>
      <c r="I11" s="709"/>
      <c r="J11" s="710"/>
      <c r="L11" s="495" t="s">
        <v>499</v>
      </c>
      <c r="M11" s="58"/>
      <c r="N11" s="58"/>
      <c r="O11" s="58"/>
    </row>
    <row r="12" spans="2:16" ht="18.75" x14ac:dyDescent="0.25">
      <c r="B12" s="703"/>
      <c r="C12" s="704"/>
      <c r="D12" s="509"/>
      <c r="E12" s="509"/>
      <c r="I12" s="709"/>
      <c r="J12" s="710"/>
      <c r="L12" s="58"/>
      <c r="M12" s="58"/>
      <c r="N12" s="58"/>
      <c r="O12" s="58"/>
    </row>
    <row r="13" spans="2:16" ht="18.75" x14ac:dyDescent="0.25">
      <c r="B13" s="703"/>
      <c r="C13" s="704"/>
      <c r="D13" s="509"/>
      <c r="E13" s="509"/>
      <c r="I13" s="709"/>
      <c r="J13" s="710"/>
      <c r="L13" s="58" t="s">
        <v>500</v>
      </c>
      <c r="M13" s="58"/>
      <c r="N13" s="58"/>
      <c r="O13" s="58"/>
    </row>
    <row r="14" spans="2:16" ht="18.75" x14ac:dyDescent="0.25">
      <c r="B14" s="703"/>
      <c r="C14" s="704"/>
      <c r="D14" s="509"/>
      <c r="E14" s="509"/>
      <c r="I14" s="709"/>
      <c r="J14" s="710"/>
      <c r="L14" s="58"/>
      <c r="M14" s="58"/>
      <c r="N14" s="58"/>
      <c r="O14" s="58"/>
    </row>
    <row r="15" spans="2:16" ht="18.75" x14ac:dyDescent="0.25">
      <c r="B15" s="705"/>
      <c r="C15" s="706"/>
      <c r="D15" s="509"/>
      <c r="E15" s="509"/>
      <c r="I15" s="711"/>
      <c r="J15" s="712"/>
      <c r="L15" s="58" t="s">
        <v>501</v>
      </c>
      <c r="M15" s="58"/>
      <c r="N15" s="58"/>
      <c r="O15" s="58"/>
    </row>
    <row r="16" spans="2:16" x14ac:dyDescent="0.25">
      <c r="L16" s="58"/>
      <c r="M16" s="58"/>
      <c r="N16" s="58"/>
      <c r="O16" s="58"/>
    </row>
    <row r="17" spans="1:15" x14ac:dyDescent="0.25">
      <c r="L17" s="58" t="s">
        <v>13</v>
      </c>
      <c r="M17" s="58"/>
      <c r="N17" s="58"/>
      <c r="O17" s="58"/>
    </row>
    <row r="18" spans="1:15" x14ac:dyDescent="0.25">
      <c r="L18" s="58"/>
      <c r="M18" s="58"/>
      <c r="N18" s="58"/>
      <c r="O18" s="58"/>
    </row>
    <row r="19" spans="1:15" x14ac:dyDescent="0.25">
      <c r="L19" s="58" t="s">
        <v>502</v>
      </c>
      <c r="M19" s="58"/>
      <c r="N19" s="58"/>
      <c r="O19" s="58"/>
    </row>
    <row r="20" spans="1:15" x14ac:dyDescent="0.25">
      <c r="L20" s="58"/>
      <c r="M20" s="58"/>
      <c r="N20" s="58"/>
      <c r="O20" s="58"/>
    </row>
    <row r="21" spans="1:15" x14ac:dyDescent="0.25">
      <c r="L21" s="58" t="s">
        <v>316</v>
      </c>
      <c r="M21" s="58"/>
      <c r="N21" s="58"/>
      <c r="O21" s="58"/>
    </row>
    <row r="22" spans="1:15" x14ac:dyDescent="0.25">
      <c r="L22" s="58"/>
      <c r="M22" s="58"/>
      <c r="N22" s="58"/>
      <c r="O22" s="58"/>
    </row>
    <row r="23" spans="1:15" x14ac:dyDescent="0.25">
      <c r="A23" t="s">
        <v>503</v>
      </c>
      <c r="L23" s="58" t="s">
        <v>504</v>
      </c>
      <c r="M23" s="58"/>
      <c r="N23" s="58"/>
      <c r="O23" s="58"/>
    </row>
    <row r="24" spans="1:15" x14ac:dyDescent="0.25">
      <c r="A24" t="s">
        <v>505</v>
      </c>
    </row>
    <row r="25" spans="1:15" x14ac:dyDescent="0.25">
      <c r="A25" t="s">
        <v>506</v>
      </c>
    </row>
    <row r="26" spans="1:15" x14ac:dyDescent="0.25">
      <c r="A26" t="s">
        <v>507</v>
      </c>
      <c r="E26" s="693" t="s">
        <v>508</v>
      </c>
      <c r="F26" s="693"/>
      <c r="H26" s="693" t="s">
        <v>509</v>
      </c>
      <c r="I26" s="693"/>
      <c r="K26" s="693" t="s">
        <v>510</v>
      </c>
      <c r="L26" s="693"/>
    </row>
    <row r="27" spans="1:15" x14ac:dyDescent="0.25">
      <c r="A27" t="s">
        <v>511</v>
      </c>
    </row>
    <row r="28" spans="1:15" x14ac:dyDescent="0.25">
      <c r="B28" s="693"/>
      <c r="C28" s="693"/>
      <c r="E28" s="694" t="s">
        <v>512</v>
      </c>
      <c r="F28" s="695"/>
      <c r="H28" s="694" t="s">
        <v>513</v>
      </c>
      <c r="I28" s="695"/>
      <c r="K28" s="694" t="s">
        <v>513</v>
      </c>
      <c r="L28" s="695"/>
    </row>
    <row r="29" spans="1:15" x14ac:dyDescent="0.25">
      <c r="B29" s="693"/>
      <c r="C29" s="693"/>
      <c r="E29" s="696"/>
      <c r="F29" s="697"/>
      <c r="H29" s="696"/>
      <c r="I29" s="697"/>
      <c r="K29" s="696"/>
      <c r="L29" s="697"/>
    </row>
    <row r="30" spans="1:15" x14ac:dyDescent="0.25">
      <c r="B30" s="693"/>
      <c r="C30" s="693"/>
      <c r="E30" s="696"/>
      <c r="F30" s="697"/>
      <c r="H30" s="696"/>
      <c r="I30" s="697"/>
      <c r="K30" s="696"/>
      <c r="L30" s="697"/>
    </row>
    <row r="31" spans="1:15" x14ac:dyDescent="0.25">
      <c r="B31" s="693"/>
      <c r="C31" s="693"/>
      <c r="E31" s="696"/>
      <c r="F31" s="697"/>
      <c r="H31" s="696"/>
      <c r="I31" s="697"/>
      <c r="K31" s="696"/>
      <c r="L31" s="697"/>
    </row>
    <row r="32" spans="1:15" x14ac:dyDescent="0.25">
      <c r="B32" s="693"/>
      <c r="C32" s="693"/>
      <c r="E32" s="696"/>
      <c r="F32" s="697"/>
      <c r="H32" s="696"/>
      <c r="I32" s="697"/>
      <c r="K32" s="696"/>
      <c r="L32" s="697"/>
    </row>
    <row r="33" spans="2:12" x14ac:dyDescent="0.25">
      <c r="B33" s="693"/>
      <c r="C33" s="693"/>
      <c r="E33" s="696"/>
      <c r="F33" s="697"/>
      <c r="H33" s="696"/>
      <c r="I33" s="697"/>
      <c r="K33" s="696"/>
      <c r="L33" s="697"/>
    </row>
    <row r="34" spans="2:12" x14ac:dyDescent="0.25">
      <c r="B34" s="693"/>
      <c r="C34" s="693"/>
      <c r="E34" s="696"/>
      <c r="F34" s="697"/>
      <c r="H34" s="696"/>
      <c r="I34" s="697"/>
      <c r="K34" s="696"/>
      <c r="L34" s="697"/>
    </row>
    <row r="35" spans="2:12" x14ac:dyDescent="0.25">
      <c r="B35" s="693"/>
      <c r="C35" s="693"/>
      <c r="E35" s="696"/>
      <c r="F35" s="697"/>
      <c r="H35" s="696"/>
      <c r="I35" s="697"/>
      <c r="K35" s="696"/>
      <c r="L35" s="697"/>
    </row>
    <row r="36" spans="2:12" x14ac:dyDescent="0.25">
      <c r="B36" s="693"/>
      <c r="C36" s="693"/>
      <c r="E36" s="698"/>
      <c r="F36" s="699"/>
      <c r="H36" s="698"/>
      <c r="I36" s="699"/>
      <c r="K36" s="698"/>
      <c r="L36" s="699"/>
    </row>
    <row r="38" spans="2:12" x14ac:dyDescent="0.25">
      <c r="J38" t="s">
        <v>641</v>
      </c>
    </row>
    <row r="39" spans="2:12" ht="15.75" x14ac:dyDescent="0.25">
      <c r="B39" s="183" t="s">
        <v>514</v>
      </c>
      <c r="C39" s="183"/>
      <c r="D39" s="183"/>
      <c r="E39" s="183"/>
      <c r="F39" s="58"/>
      <c r="G39" s="58"/>
      <c r="J39" t="s">
        <v>642</v>
      </c>
    </row>
    <row r="40" spans="2:12" ht="15.75" x14ac:dyDescent="0.25">
      <c r="B40" s="183"/>
      <c r="C40" s="183"/>
      <c r="D40" s="183"/>
      <c r="E40" s="183"/>
      <c r="F40" s="58"/>
      <c r="G40" s="58"/>
      <c r="J40" t="s">
        <v>643</v>
      </c>
    </row>
    <row r="41" spans="2:12" ht="15.75" x14ac:dyDescent="0.25">
      <c r="B41" s="183"/>
      <c r="C41" s="183" t="s">
        <v>515</v>
      </c>
      <c r="D41" s="183"/>
      <c r="E41" s="183"/>
      <c r="F41" s="58"/>
      <c r="G41" s="58"/>
    </row>
    <row r="42" spans="2:12" ht="15.75" x14ac:dyDescent="0.25">
      <c r="B42" s="183"/>
      <c r="C42" s="183"/>
      <c r="D42" s="183"/>
      <c r="E42" s="183"/>
      <c r="F42" s="58"/>
      <c r="G42" s="58"/>
    </row>
    <row r="43" spans="2:12" ht="15.75" x14ac:dyDescent="0.25">
      <c r="B43" s="183"/>
      <c r="C43" s="183"/>
      <c r="D43" s="183" t="s">
        <v>516</v>
      </c>
      <c r="E43" s="183"/>
      <c r="F43" s="58"/>
      <c r="G43" s="58"/>
    </row>
    <row r="44" spans="2:12" ht="15.75" x14ac:dyDescent="0.25">
      <c r="B44" s="183"/>
      <c r="C44" s="183"/>
      <c r="D44" s="183" t="s">
        <v>517</v>
      </c>
      <c r="E44" s="183"/>
      <c r="F44" s="58"/>
      <c r="G44" s="58"/>
    </row>
    <row r="45" spans="2:12" ht="15.75" x14ac:dyDescent="0.25">
      <c r="B45" s="183"/>
      <c r="C45" s="27"/>
      <c r="D45" s="183"/>
      <c r="E45" s="183"/>
      <c r="F45" s="58"/>
      <c r="G45" s="58"/>
    </row>
    <row r="46" spans="2:12" ht="15.75" x14ac:dyDescent="0.25">
      <c r="B46" s="27"/>
      <c r="C46" s="27"/>
      <c r="D46" s="27"/>
      <c r="E46" s="183" t="s">
        <v>518</v>
      </c>
    </row>
    <row r="48" spans="2:12" ht="15.75" x14ac:dyDescent="0.25">
      <c r="C48" s="183" t="s">
        <v>519</v>
      </c>
      <c r="D48" s="183"/>
      <c r="E48" s="27"/>
    </row>
    <row r="49" spans="3:9" ht="15.75" x14ac:dyDescent="0.25">
      <c r="C49" s="183"/>
      <c r="D49" s="183" t="s">
        <v>520</v>
      </c>
      <c r="E49" s="27"/>
    </row>
    <row r="50" spans="3:9" ht="15.75" x14ac:dyDescent="0.25">
      <c r="C50" s="183"/>
      <c r="D50" s="183" t="s">
        <v>521</v>
      </c>
      <c r="E50" s="27"/>
    </row>
    <row r="51" spans="3:9" ht="15.75" x14ac:dyDescent="0.25">
      <c r="C51" s="183"/>
      <c r="D51" s="183" t="s">
        <v>522</v>
      </c>
      <c r="E51" s="27"/>
    </row>
    <row r="52" spans="3:9" ht="15.75" x14ac:dyDescent="0.25">
      <c r="C52" s="27"/>
      <c r="D52" s="183" t="s">
        <v>523</v>
      </c>
      <c r="E52" s="27"/>
    </row>
    <row r="53" spans="3:9" ht="15.75" x14ac:dyDescent="0.25">
      <c r="C53" s="27"/>
      <c r="D53" s="183" t="s">
        <v>524</v>
      </c>
      <c r="E53" s="27"/>
    </row>
    <row r="54" spans="3:9" ht="15.75" x14ac:dyDescent="0.25">
      <c r="C54" s="27"/>
      <c r="D54" s="183" t="s">
        <v>525</v>
      </c>
      <c r="E54" s="27"/>
    </row>
    <row r="55" spans="3:9" ht="15.75" x14ac:dyDescent="0.25">
      <c r="C55" s="27"/>
      <c r="D55" s="183" t="s">
        <v>526</v>
      </c>
      <c r="E55" s="27"/>
    </row>
    <row r="56" spans="3:9" ht="15.75" x14ac:dyDescent="0.25">
      <c r="D56" s="183" t="s">
        <v>527</v>
      </c>
    </row>
    <row r="57" spans="3:9" ht="15.75" x14ac:dyDescent="0.25">
      <c r="D57" s="183" t="s">
        <v>528</v>
      </c>
    </row>
    <row r="59" spans="3:9" x14ac:dyDescent="0.25">
      <c r="E59" s="58" t="s">
        <v>529</v>
      </c>
      <c r="F59" s="58"/>
      <c r="G59" s="58"/>
      <c r="H59" s="58"/>
      <c r="I59" s="58"/>
    </row>
    <row r="60" spans="3:9" x14ac:dyDescent="0.25">
      <c r="E60" s="58"/>
      <c r="F60" s="58" t="s">
        <v>530</v>
      </c>
      <c r="G60" s="58"/>
      <c r="H60" s="58"/>
      <c r="I60" s="58"/>
    </row>
    <row r="61" spans="3:9" x14ac:dyDescent="0.25">
      <c r="E61" s="58"/>
      <c r="F61" s="58" t="s">
        <v>531</v>
      </c>
      <c r="G61" s="58"/>
      <c r="H61" s="58"/>
      <c r="I61" s="58"/>
    </row>
    <row r="62" spans="3:9" x14ac:dyDescent="0.25">
      <c r="E62" s="58"/>
      <c r="F62" s="58"/>
      <c r="G62" s="58" t="s">
        <v>532</v>
      </c>
      <c r="H62" s="58"/>
      <c r="I62" s="58"/>
    </row>
    <row r="63" spans="3:9" x14ac:dyDescent="0.25">
      <c r="E63" s="58"/>
      <c r="F63" s="58"/>
      <c r="G63" s="58" t="s">
        <v>533</v>
      </c>
      <c r="H63" s="58"/>
      <c r="I63" s="58"/>
    </row>
    <row r="64" spans="3:9" x14ac:dyDescent="0.25">
      <c r="E64" s="58"/>
      <c r="F64" s="58"/>
      <c r="G64" s="58" t="s">
        <v>534</v>
      </c>
      <c r="H64" s="58"/>
      <c r="I64" s="58"/>
    </row>
    <row r="65" spans="2:10" x14ac:dyDescent="0.25">
      <c r="E65" s="58"/>
      <c r="F65" s="58"/>
      <c r="G65" s="58" t="s">
        <v>535</v>
      </c>
      <c r="H65" s="58"/>
      <c r="I65" s="58"/>
    </row>
    <row r="66" spans="2:10" x14ac:dyDescent="0.25">
      <c r="E66" s="58"/>
      <c r="F66" s="58"/>
      <c r="G66" s="58" t="s">
        <v>536</v>
      </c>
      <c r="H66" s="58"/>
      <c r="I66" s="58"/>
    </row>
    <row r="67" spans="2:10" x14ac:dyDescent="0.25">
      <c r="E67" s="58"/>
      <c r="F67" s="58"/>
      <c r="G67" s="58" t="s">
        <v>537</v>
      </c>
      <c r="H67" s="58"/>
      <c r="I67" s="58"/>
    </row>
    <row r="68" spans="2:10" x14ac:dyDescent="0.25">
      <c r="E68" s="58"/>
      <c r="F68" s="58"/>
      <c r="G68" s="58" t="s">
        <v>841</v>
      </c>
      <c r="H68" s="58"/>
      <c r="I68" s="58"/>
      <c r="J68" s="58"/>
    </row>
    <row r="69" spans="2:10" x14ac:dyDescent="0.25">
      <c r="G69" s="58" t="s">
        <v>538</v>
      </c>
      <c r="H69" s="58"/>
      <c r="I69" s="58"/>
      <c r="J69" s="58"/>
    </row>
    <row r="70" spans="2:10" x14ac:dyDescent="0.25">
      <c r="G70" s="58"/>
      <c r="H70" s="58" t="s">
        <v>539</v>
      </c>
      <c r="I70" s="58"/>
      <c r="J70" s="58"/>
    </row>
    <row r="71" spans="2:10" x14ac:dyDescent="0.25">
      <c r="G71" s="58"/>
      <c r="H71" s="495" t="s">
        <v>540</v>
      </c>
      <c r="I71" s="58"/>
      <c r="J71" s="58"/>
    </row>
    <row r="72" spans="2:10" x14ac:dyDescent="0.25">
      <c r="G72" s="58"/>
      <c r="H72" s="58" t="s">
        <v>541</v>
      </c>
      <c r="I72" s="58"/>
      <c r="J72" s="58"/>
    </row>
    <row r="73" spans="2:10" x14ac:dyDescent="0.25">
      <c r="G73" s="58"/>
      <c r="H73" s="58"/>
      <c r="I73" s="495" t="s">
        <v>542</v>
      </c>
      <c r="J73" s="58"/>
    </row>
    <row r="74" spans="2:10" x14ac:dyDescent="0.25">
      <c r="G74" s="58"/>
      <c r="H74" s="58"/>
      <c r="I74" s="58" t="s">
        <v>543</v>
      </c>
      <c r="J74" s="58"/>
    </row>
    <row r="75" spans="2:10" x14ac:dyDescent="0.25">
      <c r="G75" s="58"/>
      <c r="H75" s="58"/>
      <c r="I75" s="58" t="s">
        <v>544</v>
      </c>
      <c r="J75" s="58"/>
    </row>
    <row r="76" spans="2:10" x14ac:dyDescent="0.25">
      <c r="G76" s="58"/>
      <c r="H76" s="58"/>
      <c r="I76" s="58"/>
      <c r="J76" s="58"/>
    </row>
    <row r="77" spans="2:10" x14ac:dyDescent="0.25">
      <c r="B77" s="58" t="s">
        <v>545</v>
      </c>
      <c r="G77" s="58"/>
      <c r="H77" s="58"/>
      <c r="I77" s="58"/>
      <c r="J77" s="58"/>
    </row>
    <row r="78" spans="2:10" x14ac:dyDescent="0.25">
      <c r="G78" s="58"/>
      <c r="H78" s="58"/>
      <c r="I78" s="58"/>
      <c r="J78" s="58"/>
    </row>
    <row r="79" spans="2:10" x14ac:dyDescent="0.25">
      <c r="B79" s="495" t="s">
        <v>546</v>
      </c>
      <c r="C79" s="58"/>
      <c r="D79" s="58"/>
      <c r="E79" s="58"/>
      <c r="F79" s="58"/>
      <c r="G79" s="58"/>
      <c r="H79" s="58"/>
      <c r="I79" s="58"/>
      <c r="J79" s="58"/>
    </row>
    <row r="80" spans="2:10" x14ac:dyDescent="0.25">
      <c r="B80" s="58" t="s">
        <v>547</v>
      </c>
      <c r="C80" s="58"/>
      <c r="D80" s="58"/>
      <c r="E80" s="58"/>
      <c r="F80" s="58"/>
      <c r="G80" s="58"/>
      <c r="H80" s="58"/>
      <c r="I80" s="58"/>
      <c r="J80" s="58"/>
    </row>
    <row r="81" spans="2:10" x14ac:dyDescent="0.25">
      <c r="B81" s="58"/>
      <c r="D81" s="58"/>
      <c r="E81" s="58"/>
      <c r="F81" s="58"/>
      <c r="G81" s="58"/>
      <c r="H81" s="58"/>
      <c r="I81" s="58"/>
      <c r="J81" s="58"/>
    </row>
    <row r="82" spans="2:10" x14ac:dyDescent="0.25">
      <c r="C82" s="58" t="s">
        <v>548</v>
      </c>
    </row>
    <row r="83" spans="2:10" x14ac:dyDescent="0.25">
      <c r="C83" s="58" t="s">
        <v>549</v>
      </c>
    </row>
    <row r="84" spans="2:10" x14ac:dyDescent="0.25">
      <c r="C84" s="58"/>
    </row>
    <row r="85" spans="2:10" x14ac:dyDescent="0.25">
      <c r="C85" s="58" t="s">
        <v>550</v>
      </c>
    </row>
    <row r="86" spans="2:10" x14ac:dyDescent="0.25">
      <c r="C86" s="58" t="s">
        <v>551</v>
      </c>
    </row>
    <row r="87" spans="2:10" x14ac:dyDescent="0.25">
      <c r="C87" s="58" t="s">
        <v>552</v>
      </c>
    </row>
    <row r="88" spans="2:10" x14ac:dyDescent="0.25">
      <c r="C88" s="58" t="s">
        <v>553</v>
      </c>
    </row>
    <row r="89" spans="2:10" x14ac:dyDescent="0.25">
      <c r="C89" s="58"/>
    </row>
    <row r="90" spans="2:10" x14ac:dyDescent="0.25">
      <c r="B90" s="58" t="s">
        <v>554</v>
      </c>
      <c r="D90" s="58"/>
      <c r="E90" s="58"/>
    </row>
    <row r="91" spans="2:10" x14ac:dyDescent="0.25">
      <c r="B91" s="58"/>
      <c r="D91" s="58"/>
      <c r="E91" s="58"/>
    </row>
    <row r="92" spans="2:10" x14ac:dyDescent="0.25">
      <c r="C92" s="58"/>
      <c r="D92" s="58" t="s">
        <v>555</v>
      </c>
      <c r="E92" s="58"/>
    </row>
    <row r="93" spans="2:10" x14ac:dyDescent="0.25">
      <c r="C93" s="58"/>
      <c r="D93" s="58"/>
      <c r="E93" s="58" t="s">
        <v>556</v>
      </c>
    </row>
    <row r="94" spans="2:10" x14ac:dyDescent="0.25">
      <c r="E94" s="58" t="s">
        <v>557</v>
      </c>
    </row>
    <row r="95" spans="2:10" x14ac:dyDescent="0.25">
      <c r="D95" s="58" t="s">
        <v>558</v>
      </c>
    </row>
    <row r="96" spans="2:10" x14ac:dyDescent="0.25">
      <c r="D96" s="58" t="s">
        <v>559</v>
      </c>
    </row>
    <row r="97" spans="2:11" x14ac:dyDescent="0.25">
      <c r="D97" s="58" t="s">
        <v>560</v>
      </c>
    </row>
    <row r="99" spans="2:11" x14ac:dyDescent="0.25">
      <c r="B99" s="58" t="s">
        <v>561</v>
      </c>
    </row>
    <row r="101" spans="2:11" x14ac:dyDescent="0.25">
      <c r="B101" s="58" t="s">
        <v>562</v>
      </c>
    </row>
    <row r="104" spans="2:11" x14ac:dyDescent="0.25">
      <c r="C104" s="58" t="s">
        <v>563</v>
      </c>
      <c r="D104" s="58"/>
      <c r="E104" s="58"/>
      <c r="F104" s="58"/>
      <c r="G104" s="58"/>
      <c r="H104" s="58"/>
      <c r="I104" s="58"/>
      <c r="J104" s="58"/>
      <c r="K104" s="58"/>
    </row>
    <row r="105" spans="2:11" x14ac:dyDescent="0.25">
      <c r="C105" s="58"/>
      <c r="D105" s="58"/>
      <c r="E105" s="58"/>
      <c r="F105" s="58"/>
      <c r="G105" s="58"/>
      <c r="H105" s="58"/>
      <c r="I105" s="58"/>
      <c r="J105" s="58"/>
      <c r="K105" s="58"/>
    </row>
    <row r="106" spans="2:11" x14ac:dyDescent="0.25">
      <c r="C106" s="58"/>
      <c r="D106" s="58" t="s">
        <v>564</v>
      </c>
      <c r="E106" s="58"/>
      <c r="F106" s="58"/>
      <c r="G106" s="58"/>
      <c r="H106" s="58"/>
      <c r="I106" s="58"/>
      <c r="J106" s="58"/>
      <c r="K106" s="58"/>
    </row>
    <row r="107" spans="2:11" x14ac:dyDescent="0.25">
      <c r="C107" s="58"/>
      <c r="D107" s="58"/>
      <c r="E107" s="58"/>
      <c r="F107" s="58"/>
      <c r="G107" s="58"/>
      <c r="H107" s="58"/>
      <c r="I107" s="58"/>
      <c r="J107" s="58"/>
      <c r="K107" s="58"/>
    </row>
    <row r="108" spans="2:11" x14ac:dyDescent="0.25">
      <c r="C108" s="58"/>
      <c r="D108" s="58"/>
      <c r="E108" s="495" t="s">
        <v>565</v>
      </c>
      <c r="F108" s="58"/>
      <c r="G108" s="58"/>
      <c r="H108" s="58"/>
      <c r="I108" s="58"/>
      <c r="J108" s="58"/>
      <c r="K108" s="58"/>
    </row>
    <row r="109" spans="2:11" x14ac:dyDescent="0.25">
      <c r="C109" s="58"/>
      <c r="D109" s="58"/>
      <c r="E109" s="58" t="s">
        <v>712</v>
      </c>
      <c r="F109" s="58"/>
      <c r="G109" s="58"/>
      <c r="H109" s="58"/>
      <c r="I109" s="58"/>
      <c r="J109" s="58"/>
      <c r="K109" s="58"/>
    </row>
    <row r="110" spans="2:11" x14ac:dyDescent="0.25">
      <c r="C110" s="58"/>
      <c r="D110" s="58"/>
      <c r="E110" s="58"/>
      <c r="F110" s="58"/>
      <c r="G110" s="58"/>
      <c r="H110" s="58"/>
      <c r="I110" s="58"/>
      <c r="J110" s="58"/>
      <c r="K110" s="58"/>
    </row>
    <row r="111" spans="2:11" x14ac:dyDescent="0.25">
      <c r="C111" s="58"/>
      <c r="D111" s="58"/>
      <c r="E111" s="58"/>
      <c r="F111" s="58" t="s">
        <v>566</v>
      </c>
      <c r="G111" s="58"/>
      <c r="H111" s="58"/>
      <c r="I111" s="58"/>
      <c r="J111" s="58"/>
      <c r="K111" s="58"/>
    </row>
    <row r="112" spans="2:11" x14ac:dyDescent="0.25">
      <c r="C112" s="58"/>
      <c r="D112" s="58"/>
      <c r="E112" s="58"/>
      <c r="F112" s="58"/>
      <c r="G112" s="58"/>
      <c r="H112" s="58" t="s">
        <v>567</v>
      </c>
      <c r="I112" s="58"/>
      <c r="J112" s="58"/>
      <c r="K112" s="58"/>
    </row>
    <row r="113" spans="2:13" x14ac:dyDescent="0.25">
      <c r="C113" s="58"/>
      <c r="D113" s="58"/>
      <c r="E113" s="58"/>
      <c r="F113" s="58"/>
      <c r="G113" s="58"/>
      <c r="H113" s="58" t="s">
        <v>61</v>
      </c>
      <c r="I113" s="58"/>
      <c r="J113" s="58"/>
      <c r="K113" s="58"/>
    </row>
    <row r="114" spans="2:13" x14ac:dyDescent="0.25">
      <c r="C114" s="58"/>
      <c r="D114" s="58"/>
      <c r="E114" s="58"/>
      <c r="F114" s="58"/>
      <c r="G114" s="58"/>
      <c r="H114" s="58" t="s">
        <v>568</v>
      </c>
      <c r="I114" s="58"/>
      <c r="J114" s="58"/>
      <c r="K114" s="58"/>
    </row>
    <row r="115" spans="2:13" x14ac:dyDescent="0.25">
      <c r="C115" s="58"/>
      <c r="D115" s="58"/>
      <c r="E115" s="58"/>
      <c r="F115" s="58"/>
      <c r="G115" s="58"/>
      <c r="H115" s="58" t="s">
        <v>569</v>
      </c>
      <c r="I115" s="58"/>
      <c r="J115" s="58"/>
      <c r="K115" s="58"/>
    </row>
    <row r="116" spans="2:13" x14ac:dyDescent="0.25">
      <c r="C116" s="58"/>
      <c r="D116" s="58"/>
      <c r="E116" s="58"/>
      <c r="F116" s="58"/>
      <c r="G116" s="58"/>
      <c r="H116" s="58" t="s">
        <v>570</v>
      </c>
      <c r="I116" s="58"/>
      <c r="J116" s="58"/>
      <c r="K116" s="58"/>
    </row>
    <row r="117" spans="2:13" x14ac:dyDescent="0.25">
      <c r="C117" s="58"/>
      <c r="D117" s="58"/>
      <c r="E117" s="58"/>
      <c r="F117" s="58"/>
      <c r="G117" s="58"/>
      <c r="H117" s="58" t="s">
        <v>571</v>
      </c>
      <c r="I117" s="58"/>
      <c r="J117" s="58"/>
      <c r="K117" s="58"/>
    </row>
    <row r="118" spans="2:13" x14ac:dyDescent="0.25">
      <c r="C118" s="58"/>
      <c r="D118" s="58"/>
      <c r="E118" s="58"/>
      <c r="F118" s="58"/>
      <c r="G118" s="58"/>
      <c r="H118" s="58" t="s">
        <v>572</v>
      </c>
      <c r="I118" s="58"/>
      <c r="J118" s="58"/>
      <c r="K118" s="58"/>
    </row>
    <row r="119" spans="2:13" x14ac:dyDescent="0.25">
      <c r="C119" s="58"/>
      <c r="D119" s="58"/>
      <c r="E119" s="58"/>
      <c r="F119" s="58"/>
      <c r="G119" s="58"/>
      <c r="H119" s="58" t="s">
        <v>573</v>
      </c>
      <c r="I119" s="58"/>
      <c r="J119" s="58"/>
      <c r="K119" s="58"/>
    </row>
    <row r="120" spans="2:13" x14ac:dyDescent="0.25">
      <c r="C120" s="58"/>
      <c r="D120" s="58"/>
      <c r="E120" s="58"/>
      <c r="F120" s="58"/>
      <c r="G120" s="58"/>
      <c r="H120" s="58"/>
      <c r="I120" s="58"/>
      <c r="J120" s="58"/>
      <c r="K120" s="58"/>
    </row>
    <row r="121" spans="2:13" x14ac:dyDescent="0.25">
      <c r="B121" s="510"/>
      <c r="C121" s="511"/>
      <c r="D121" s="511"/>
      <c r="E121" s="511"/>
      <c r="F121" s="511"/>
      <c r="G121" s="511"/>
      <c r="H121" s="511"/>
      <c r="I121" s="511"/>
      <c r="J121" s="511"/>
      <c r="K121" s="511"/>
      <c r="L121" s="512"/>
      <c r="M121" s="513"/>
    </row>
    <row r="122" spans="2:13" x14ac:dyDescent="0.25">
      <c r="B122" s="420"/>
      <c r="C122" s="58" t="s">
        <v>574</v>
      </c>
      <c r="D122" s="58"/>
      <c r="E122" s="58"/>
      <c r="H122" s="58"/>
      <c r="I122" s="58"/>
      <c r="J122" s="58"/>
      <c r="K122" s="58"/>
      <c r="M122" s="514"/>
    </row>
    <row r="123" spans="2:13" x14ac:dyDescent="0.25">
      <c r="B123" s="420"/>
      <c r="C123" s="58" t="s">
        <v>575</v>
      </c>
      <c r="D123" s="58"/>
      <c r="E123" s="58"/>
      <c r="H123" s="58"/>
      <c r="I123" s="58"/>
      <c r="J123" s="58"/>
      <c r="K123" s="58"/>
      <c r="M123" s="514"/>
    </row>
    <row r="124" spans="2:13" x14ac:dyDescent="0.25">
      <c r="B124" s="420"/>
      <c r="M124" s="514"/>
    </row>
    <row r="125" spans="2:13" x14ac:dyDescent="0.25">
      <c r="B125" s="420"/>
      <c r="D125" s="58" t="s">
        <v>576</v>
      </c>
      <c r="M125" s="514"/>
    </row>
    <row r="126" spans="2:13" x14ac:dyDescent="0.25">
      <c r="B126" s="420"/>
      <c r="D126" s="58" t="s">
        <v>577</v>
      </c>
      <c r="M126" s="514"/>
    </row>
    <row r="127" spans="2:13" x14ac:dyDescent="0.25">
      <c r="B127" s="420"/>
      <c r="D127" s="58" t="s">
        <v>578</v>
      </c>
      <c r="M127" s="514"/>
    </row>
    <row r="128" spans="2:13" x14ac:dyDescent="0.25">
      <c r="B128" s="420"/>
      <c r="D128" s="58" t="s">
        <v>579</v>
      </c>
      <c r="M128" s="514"/>
    </row>
    <row r="129" spans="2:13" x14ac:dyDescent="0.25">
      <c r="B129" s="420"/>
      <c r="D129" s="58"/>
      <c r="M129" s="514"/>
    </row>
    <row r="130" spans="2:13" x14ac:dyDescent="0.25">
      <c r="B130" s="420"/>
      <c r="M130" s="514"/>
    </row>
    <row r="131" spans="2:13" x14ac:dyDescent="0.25">
      <c r="B131" s="420"/>
      <c r="C131" s="58" t="s">
        <v>580</v>
      </c>
      <c r="M131" s="514"/>
    </row>
    <row r="132" spans="2:13" x14ac:dyDescent="0.25">
      <c r="B132" s="420"/>
      <c r="C132" s="58" t="s">
        <v>581</v>
      </c>
      <c r="M132" s="514"/>
    </row>
    <row r="133" spans="2:13" x14ac:dyDescent="0.25">
      <c r="B133" s="420"/>
      <c r="M133" s="514"/>
    </row>
    <row r="134" spans="2:13" x14ac:dyDescent="0.25">
      <c r="B134" s="420"/>
      <c r="C134" s="462" t="s">
        <v>582</v>
      </c>
      <c r="M134" s="514"/>
    </row>
    <row r="135" spans="2:13" x14ac:dyDescent="0.25">
      <c r="B135" s="515"/>
      <c r="C135" s="516"/>
      <c r="D135" s="516"/>
      <c r="E135" s="516"/>
      <c r="F135" s="516"/>
      <c r="G135" s="516"/>
      <c r="H135" s="516"/>
      <c r="I135" s="516"/>
      <c r="J135" s="516"/>
      <c r="K135" s="516"/>
      <c r="L135" s="516"/>
      <c r="M135" s="517"/>
    </row>
    <row r="137" spans="2:13" x14ac:dyDescent="0.25">
      <c r="B137" s="58" t="s">
        <v>775</v>
      </c>
    </row>
    <row r="138" spans="2:13" x14ac:dyDescent="0.25">
      <c r="B138" s="58" t="s">
        <v>583</v>
      </c>
    </row>
    <row r="140" spans="2:13" x14ac:dyDescent="0.25">
      <c r="B140" s="58" t="s">
        <v>584</v>
      </c>
      <c r="C140" s="58"/>
      <c r="D140" s="58"/>
      <c r="E140" s="58"/>
      <c r="F140" s="58"/>
      <c r="G140" s="58"/>
      <c r="H140" s="58"/>
      <c r="I140" s="58"/>
      <c r="J140" s="58"/>
      <c r="K140" s="58"/>
      <c r="L140" s="58"/>
      <c r="M140" s="58"/>
    </row>
    <row r="141" spans="2:13" x14ac:dyDescent="0.25">
      <c r="B141" s="58"/>
      <c r="C141" s="58"/>
      <c r="D141" s="58"/>
      <c r="E141" s="58"/>
      <c r="F141" s="58"/>
      <c r="G141" s="58"/>
      <c r="H141" s="58"/>
      <c r="I141" s="58"/>
      <c r="J141" s="58"/>
      <c r="K141" s="58"/>
      <c r="L141" s="58"/>
      <c r="M141" s="58"/>
    </row>
    <row r="142" spans="2:13" x14ac:dyDescent="0.25">
      <c r="B142" s="58"/>
      <c r="C142" s="462" t="s">
        <v>585</v>
      </c>
      <c r="D142" s="58"/>
      <c r="E142" s="58"/>
      <c r="F142" s="58"/>
      <c r="G142" s="58"/>
      <c r="H142" s="58"/>
      <c r="I142" s="58"/>
      <c r="J142" s="58"/>
      <c r="K142" s="58"/>
      <c r="L142" s="58"/>
      <c r="M142" s="58"/>
    </row>
    <row r="143" spans="2:13" x14ac:dyDescent="0.25">
      <c r="B143" s="58"/>
      <c r="C143" s="58"/>
      <c r="D143" s="58"/>
      <c r="E143" s="58"/>
      <c r="F143" s="58"/>
      <c r="G143" s="58"/>
      <c r="H143" s="58"/>
      <c r="I143" s="58"/>
      <c r="J143" s="58"/>
      <c r="K143" s="58"/>
      <c r="L143" s="58"/>
      <c r="M143" s="58"/>
    </row>
    <row r="144" spans="2:13" x14ac:dyDescent="0.25">
      <c r="B144" s="58"/>
      <c r="C144" s="58"/>
      <c r="D144" s="58" t="s">
        <v>586</v>
      </c>
      <c r="E144" s="58"/>
      <c r="F144" s="58"/>
      <c r="G144" s="58"/>
      <c r="H144" s="58"/>
      <c r="I144" s="58"/>
      <c r="J144" s="58"/>
      <c r="K144" s="58"/>
      <c r="L144" s="58"/>
      <c r="M144" s="58"/>
    </row>
    <row r="145" spans="2:15" x14ac:dyDescent="0.25">
      <c r="B145" s="58"/>
      <c r="C145" s="58"/>
      <c r="D145" s="58"/>
      <c r="E145" s="58"/>
      <c r="F145" s="58"/>
      <c r="G145" s="58"/>
      <c r="H145" s="58"/>
      <c r="I145" s="58"/>
      <c r="J145" s="58"/>
      <c r="K145" s="58"/>
      <c r="L145" s="58"/>
      <c r="M145" s="58"/>
    </row>
    <row r="146" spans="2:15" x14ac:dyDescent="0.25">
      <c r="B146" s="58"/>
      <c r="C146" s="58"/>
      <c r="D146" s="58"/>
      <c r="E146" s="58" t="s">
        <v>587</v>
      </c>
      <c r="F146" s="58"/>
      <c r="G146" s="58"/>
      <c r="H146" s="58"/>
      <c r="I146" s="58"/>
      <c r="J146" s="58"/>
      <c r="K146" s="58"/>
      <c r="L146" s="58"/>
      <c r="M146" s="58"/>
    </row>
    <row r="147" spans="2:15" x14ac:dyDescent="0.25">
      <c r="B147" s="58"/>
      <c r="C147" s="58"/>
      <c r="D147" s="58"/>
      <c r="E147" s="58"/>
      <c r="F147" s="58"/>
      <c r="G147" s="58"/>
      <c r="H147" s="58"/>
      <c r="I147" s="58"/>
      <c r="J147" s="58"/>
      <c r="K147" s="58"/>
      <c r="L147" s="58"/>
      <c r="M147" s="58"/>
    </row>
    <row r="148" spans="2:15" x14ac:dyDescent="0.25">
      <c r="B148" s="58"/>
      <c r="C148" s="58"/>
      <c r="D148" s="58"/>
      <c r="E148" s="58"/>
      <c r="F148" s="58" t="s">
        <v>588</v>
      </c>
      <c r="G148" s="58"/>
      <c r="H148" s="58"/>
      <c r="I148" s="58"/>
      <c r="J148" s="58"/>
      <c r="K148" s="58"/>
      <c r="L148" s="58"/>
      <c r="M148" s="58"/>
    </row>
    <row r="149" spans="2:15" x14ac:dyDescent="0.25">
      <c r="B149" s="58"/>
      <c r="C149" s="58"/>
      <c r="D149" s="58"/>
      <c r="E149" s="58"/>
      <c r="F149" s="58"/>
      <c r="G149" s="58"/>
      <c r="H149" s="58"/>
      <c r="I149" s="58"/>
      <c r="J149" s="58"/>
      <c r="K149" s="58"/>
      <c r="L149" s="58"/>
      <c r="M149" s="58"/>
    </row>
    <row r="150" spans="2:15" x14ac:dyDescent="0.25">
      <c r="G150" s="58" t="s">
        <v>589</v>
      </c>
    </row>
    <row r="151" spans="2:15" x14ac:dyDescent="0.25">
      <c r="G151" s="58" t="s">
        <v>590</v>
      </c>
    </row>
    <row r="152" spans="2:15" x14ac:dyDescent="0.25">
      <c r="G152" s="58" t="s">
        <v>591</v>
      </c>
    </row>
    <row r="153" spans="2:15" x14ac:dyDescent="0.25">
      <c r="G153" s="58" t="s">
        <v>592</v>
      </c>
    </row>
    <row r="154" spans="2:15" x14ac:dyDescent="0.25">
      <c r="G154" s="58" t="s">
        <v>511</v>
      </c>
    </row>
    <row r="156" spans="2:15" x14ac:dyDescent="0.25">
      <c r="D156" s="58" t="s">
        <v>593</v>
      </c>
    </row>
    <row r="158" spans="2:15" x14ac:dyDescent="0.25">
      <c r="D158" s="58" t="s">
        <v>594</v>
      </c>
    </row>
    <row r="159" spans="2:15" x14ac:dyDescent="0.25">
      <c r="D159" s="58"/>
    </row>
    <row r="160" spans="2:15" x14ac:dyDescent="0.25">
      <c r="D160" s="58"/>
      <c r="E160" s="58" t="s">
        <v>595</v>
      </c>
      <c r="F160" s="58"/>
      <c r="G160" s="58"/>
      <c r="H160" s="58"/>
      <c r="I160" s="58"/>
      <c r="J160" s="58"/>
      <c r="K160" s="58"/>
      <c r="L160" s="58"/>
      <c r="M160" s="58"/>
      <c r="N160" s="58"/>
      <c r="O160" s="58"/>
    </row>
    <row r="161" spans="3:15" x14ac:dyDescent="0.25">
      <c r="D161" s="58"/>
      <c r="E161" s="58" t="s">
        <v>596</v>
      </c>
      <c r="G161" s="58"/>
      <c r="H161" s="58"/>
      <c r="I161" s="58"/>
      <c r="J161" s="58"/>
      <c r="K161" s="58"/>
      <c r="L161" s="58"/>
      <c r="M161" s="58"/>
      <c r="N161" s="58"/>
      <c r="O161" s="58"/>
    </row>
    <row r="163" spans="3:15" x14ac:dyDescent="0.25">
      <c r="D163" s="58" t="s">
        <v>597</v>
      </c>
      <c r="H163" s="58"/>
    </row>
    <row r="165" spans="3:15" x14ac:dyDescent="0.25">
      <c r="D165" s="58" t="s">
        <v>598</v>
      </c>
      <c r="E165" s="58"/>
      <c r="F165" s="58"/>
      <c r="G165" s="58"/>
      <c r="H165" s="58"/>
    </row>
    <row r="166" spans="3:15" x14ac:dyDescent="0.25">
      <c r="D166" s="58"/>
      <c r="E166" s="58"/>
      <c r="F166" s="58"/>
      <c r="G166" s="58"/>
      <c r="H166" s="58"/>
    </row>
    <row r="167" spans="3:15" x14ac:dyDescent="0.25">
      <c r="D167" s="58" t="s">
        <v>599</v>
      </c>
      <c r="E167" s="58"/>
      <c r="F167" s="58"/>
      <c r="G167" s="58"/>
      <c r="H167" s="58"/>
    </row>
    <row r="168" spans="3:15" x14ac:dyDescent="0.25">
      <c r="D168" s="58"/>
      <c r="E168" s="58"/>
      <c r="F168" s="58"/>
      <c r="G168" s="58"/>
      <c r="H168" s="58"/>
    </row>
    <row r="169" spans="3:15" x14ac:dyDescent="0.25">
      <c r="D169" s="58"/>
      <c r="E169" s="58"/>
      <c r="F169" s="58" t="s">
        <v>600</v>
      </c>
      <c r="G169" s="58"/>
      <c r="H169" s="58"/>
    </row>
    <row r="170" spans="3:15" x14ac:dyDescent="0.25">
      <c r="D170" s="58"/>
      <c r="E170" s="58"/>
      <c r="F170" s="58" t="s">
        <v>601</v>
      </c>
      <c r="G170" s="58"/>
      <c r="H170" s="58"/>
    </row>
    <row r="171" spans="3:15" x14ac:dyDescent="0.25">
      <c r="D171" s="58"/>
      <c r="E171" s="58"/>
      <c r="F171" s="58"/>
      <c r="G171" s="58" t="s">
        <v>602</v>
      </c>
      <c r="H171" s="58"/>
    </row>
    <row r="172" spans="3:15" x14ac:dyDescent="0.25">
      <c r="D172" s="58"/>
      <c r="E172" s="58"/>
      <c r="F172" s="58" t="s">
        <v>603</v>
      </c>
      <c r="G172" s="58"/>
      <c r="H172" s="58"/>
    </row>
    <row r="173" spans="3:15" x14ac:dyDescent="0.25">
      <c r="D173" s="58"/>
      <c r="E173" s="58"/>
      <c r="F173" s="58" t="s">
        <v>604</v>
      </c>
      <c r="G173" s="58"/>
      <c r="H173" s="58"/>
    </row>
    <row r="174" spans="3:15" x14ac:dyDescent="0.25">
      <c r="D174" s="58"/>
      <c r="E174" s="58"/>
      <c r="F174" s="58" t="s">
        <v>605</v>
      </c>
      <c r="G174" s="58"/>
      <c r="H174" s="58"/>
    </row>
    <row r="176" spans="3:15" x14ac:dyDescent="0.25">
      <c r="C176" s="58" t="s">
        <v>606</v>
      </c>
    </row>
    <row r="178" spans="3:8" x14ac:dyDescent="0.25">
      <c r="E178" s="58" t="s">
        <v>600</v>
      </c>
    </row>
    <row r="179" spans="3:8" x14ac:dyDescent="0.25">
      <c r="E179" t="s">
        <v>607</v>
      </c>
    </row>
    <row r="181" spans="3:8" x14ac:dyDescent="0.25">
      <c r="C181" s="462" t="s">
        <v>608</v>
      </c>
      <c r="D181" s="58"/>
      <c r="E181" s="58"/>
      <c r="F181" s="58"/>
      <c r="G181" s="58"/>
      <c r="H181" s="58"/>
    </row>
    <row r="182" spans="3:8" x14ac:dyDescent="0.25">
      <c r="C182" s="58"/>
      <c r="D182" s="58"/>
      <c r="E182" s="58"/>
      <c r="F182" s="58"/>
      <c r="G182" s="58"/>
      <c r="H182" s="58"/>
    </row>
    <row r="183" spans="3:8" x14ac:dyDescent="0.25">
      <c r="C183" s="58"/>
      <c r="D183" s="58" t="s">
        <v>842</v>
      </c>
      <c r="E183" s="58"/>
      <c r="F183" s="58"/>
      <c r="G183" s="58"/>
      <c r="H183" s="58"/>
    </row>
    <row r="184" spans="3:8" x14ac:dyDescent="0.25">
      <c r="C184" s="58"/>
      <c r="D184" s="58"/>
      <c r="E184" s="58"/>
      <c r="F184" s="58"/>
      <c r="G184" s="58"/>
      <c r="H184" s="58"/>
    </row>
    <row r="185" spans="3:8" x14ac:dyDescent="0.25">
      <c r="C185" s="58"/>
      <c r="D185" s="58"/>
      <c r="E185" s="58" t="s">
        <v>609</v>
      </c>
      <c r="F185" s="58"/>
      <c r="G185" s="58"/>
      <c r="H185" s="58"/>
    </row>
    <row r="186" spans="3:8" x14ac:dyDescent="0.25">
      <c r="C186" s="58"/>
      <c r="D186" s="58"/>
      <c r="E186" s="58"/>
      <c r="F186" s="58"/>
      <c r="G186" s="58"/>
      <c r="H186" s="58"/>
    </row>
    <row r="187" spans="3:8" x14ac:dyDescent="0.25">
      <c r="D187" s="58" t="s">
        <v>708</v>
      </c>
      <c r="E187" s="58"/>
      <c r="F187" s="58"/>
      <c r="G187" s="58"/>
      <c r="H187" s="58"/>
    </row>
    <row r="188" spans="3:8" x14ac:dyDescent="0.25">
      <c r="D188" s="58"/>
      <c r="E188" s="58"/>
      <c r="F188" s="58"/>
      <c r="G188" s="58"/>
      <c r="H188" s="58"/>
    </row>
    <row r="189" spans="3:8" x14ac:dyDescent="0.25">
      <c r="D189" s="58"/>
      <c r="E189" s="58" t="s">
        <v>610</v>
      </c>
      <c r="F189" s="58"/>
      <c r="G189" s="58"/>
      <c r="H189" s="58"/>
    </row>
    <row r="190" spans="3:8" x14ac:dyDescent="0.25">
      <c r="D190" s="58"/>
      <c r="E190" s="58"/>
      <c r="F190" s="58"/>
      <c r="G190" s="58"/>
      <c r="H190" s="58"/>
    </row>
    <row r="191" spans="3:8" x14ac:dyDescent="0.25">
      <c r="D191" s="58"/>
      <c r="E191" s="58" t="s">
        <v>611</v>
      </c>
      <c r="F191" s="58"/>
      <c r="G191" s="58"/>
      <c r="H191" s="58"/>
    </row>
    <row r="192" spans="3:8" x14ac:dyDescent="0.25">
      <c r="D192" s="58"/>
      <c r="E192" s="58"/>
      <c r="F192" s="58"/>
      <c r="G192" s="58"/>
      <c r="H192" s="58"/>
    </row>
    <row r="193" spans="2:10" x14ac:dyDescent="0.25">
      <c r="D193" s="58"/>
      <c r="E193" s="58" t="s">
        <v>612</v>
      </c>
      <c r="F193" s="58"/>
      <c r="G193" s="58"/>
      <c r="H193" s="58"/>
      <c r="I193" s="58"/>
      <c r="J193" s="58"/>
    </row>
    <row r="194" spans="2:10" x14ac:dyDescent="0.25">
      <c r="D194" s="58"/>
      <c r="E194" s="58"/>
      <c r="F194" s="58"/>
      <c r="G194" s="58"/>
      <c r="H194" s="58"/>
      <c r="I194" s="58"/>
      <c r="J194" s="58"/>
    </row>
    <row r="195" spans="2:10" x14ac:dyDescent="0.25">
      <c r="D195" s="58"/>
      <c r="E195" s="58"/>
      <c r="F195" s="58"/>
      <c r="G195" s="58" t="s">
        <v>436</v>
      </c>
      <c r="H195" s="58"/>
      <c r="I195" s="58"/>
      <c r="J195" s="58"/>
    </row>
    <row r="196" spans="2:10" x14ac:dyDescent="0.25">
      <c r="D196" s="58"/>
      <c r="E196" s="58"/>
      <c r="F196" s="58"/>
      <c r="G196" s="58" t="s">
        <v>613</v>
      </c>
      <c r="H196" s="58"/>
      <c r="I196" s="58"/>
      <c r="J196" s="58"/>
    </row>
    <row r="197" spans="2:10" x14ac:dyDescent="0.25">
      <c r="D197" s="58"/>
      <c r="E197" s="58"/>
      <c r="F197" s="58"/>
      <c r="G197" s="58"/>
      <c r="H197" s="58"/>
      <c r="I197" s="58"/>
      <c r="J197" s="58"/>
    </row>
    <row r="198" spans="2:10" x14ac:dyDescent="0.25">
      <c r="D198" s="58"/>
      <c r="E198" s="58"/>
      <c r="F198" s="58" t="s">
        <v>614</v>
      </c>
      <c r="G198" s="58"/>
      <c r="H198" s="58"/>
      <c r="I198" s="58"/>
      <c r="J198" s="58"/>
    </row>
    <row r="199" spans="2:10" x14ac:dyDescent="0.25">
      <c r="D199" s="58"/>
      <c r="E199" s="58"/>
      <c r="F199" s="58"/>
      <c r="G199" s="58"/>
      <c r="H199" s="58"/>
      <c r="I199" s="58"/>
      <c r="J199" s="58"/>
    </row>
    <row r="200" spans="2:10" x14ac:dyDescent="0.25">
      <c r="D200" s="58" t="s">
        <v>615</v>
      </c>
      <c r="E200" s="58"/>
      <c r="F200" s="58"/>
      <c r="G200" s="58"/>
      <c r="H200" s="58"/>
      <c r="I200" s="58"/>
      <c r="J200" s="58"/>
    </row>
    <row r="201" spans="2:10" x14ac:dyDescent="0.25">
      <c r="D201" s="58"/>
      <c r="E201" s="58"/>
      <c r="F201" s="58"/>
      <c r="G201" s="58"/>
      <c r="H201" s="58"/>
      <c r="I201" s="58"/>
      <c r="J201" s="58"/>
    </row>
    <row r="202" spans="2:10" x14ac:dyDescent="0.25">
      <c r="B202" s="58"/>
      <c r="C202" s="58" t="s">
        <v>616</v>
      </c>
      <c r="D202" s="58"/>
      <c r="E202" s="58"/>
      <c r="F202" s="58"/>
      <c r="G202" s="58"/>
      <c r="H202" s="58"/>
      <c r="I202" s="58"/>
      <c r="J202" s="58"/>
    </row>
    <row r="203" spans="2:10" x14ac:dyDescent="0.25">
      <c r="B203" s="58"/>
      <c r="C203" s="58"/>
      <c r="D203" s="58"/>
      <c r="E203" s="58"/>
    </row>
    <row r="204" spans="2:10" x14ac:dyDescent="0.25">
      <c r="B204" s="58"/>
      <c r="C204" s="58"/>
      <c r="D204" s="58" t="s">
        <v>617</v>
      </c>
      <c r="E204" s="58"/>
    </row>
    <row r="206" spans="2:10" x14ac:dyDescent="0.25">
      <c r="E206" s="495" t="s">
        <v>618</v>
      </c>
      <c r="F206" s="58"/>
    </row>
    <row r="207" spans="2:10" x14ac:dyDescent="0.25">
      <c r="E207" s="58" t="s">
        <v>619</v>
      </c>
    </row>
    <row r="209" spans="3:9" x14ac:dyDescent="0.25">
      <c r="D209" s="58" t="s">
        <v>620</v>
      </c>
      <c r="E209" s="58"/>
      <c r="F209" s="58"/>
      <c r="G209" s="58"/>
      <c r="H209" s="58"/>
      <c r="I209" s="58"/>
    </row>
    <row r="210" spans="3:9" x14ac:dyDescent="0.25">
      <c r="D210" s="58"/>
      <c r="E210" s="58"/>
      <c r="F210" s="58"/>
      <c r="G210" s="58"/>
      <c r="H210" s="58"/>
      <c r="I210" s="58"/>
    </row>
    <row r="211" spans="3:9" x14ac:dyDescent="0.25">
      <c r="D211" s="58" t="s">
        <v>621</v>
      </c>
      <c r="E211" s="58"/>
      <c r="F211" s="58"/>
      <c r="G211" s="58"/>
      <c r="H211" s="58"/>
      <c r="I211" s="58"/>
    </row>
    <row r="212" spans="3:9" x14ac:dyDescent="0.25">
      <c r="D212" s="58"/>
      <c r="E212" s="58"/>
      <c r="F212" s="58"/>
      <c r="G212" s="58"/>
      <c r="H212" s="58"/>
      <c r="I212" s="58"/>
    </row>
    <row r="213" spans="3:9" x14ac:dyDescent="0.25">
      <c r="D213" s="58"/>
      <c r="E213" s="495" t="s">
        <v>622</v>
      </c>
      <c r="F213" s="58"/>
      <c r="G213" s="58"/>
      <c r="H213" s="58"/>
      <c r="I213" s="58"/>
    </row>
    <row r="214" spans="3:9" x14ac:dyDescent="0.25">
      <c r="D214" s="58"/>
      <c r="E214" s="58" t="s">
        <v>623</v>
      </c>
      <c r="F214" s="58"/>
      <c r="G214" s="58"/>
      <c r="H214" s="58"/>
      <c r="I214" s="58"/>
    </row>
    <row r="216" spans="3:9" x14ac:dyDescent="0.25">
      <c r="E216" s="495" t="s">
        <v>624</v>
      </c>
    </row>
    <row r="217" spans="3:9" x14ac:dyDescent="0.25">
      <c r="E217" s="58" t="s">
        <v>625</v>
      </c>
    </row>
    <row r="219" spans="3:9" x14ac:dyDescent="0.25">
      <c r="E219" s="495" t="s">
        <v>626</v>
      </c>
    </row>
    <row r="221" spans="3:9" x14ac:dyDescent="0.25">
      <c r="E221" s="58" t="s">
        <v>627</v>
      </c>
    </row>
    <row r="224" spans="3:9" x14ac:dyDescent="0.25">
      <c r="C224" s="58" t="s">
        <v>628</v>
      </c>
      <c r="D224" s="58"/>
      <c r="E224" s="58"/>
      <c r="F224" s="58"/>
      <c r="G224" s="58"/>
    </row>
    <row r="225" spans="2:7" x14ac:dyDescent="0.25">
      <c r="C225" s="58"/>
      <c r="D225" s="58"/>
      <c r="E225" s="58"/>
      <c r="F225" s="58"/>
      <c r="G225" s="58"/>
    </row>
    <row r="226" spans="2:7" x14ac:dyDescent="0.25">
      <c r="C226" s="58"/>
      <c r="D226" s="58"/>
      <c r="E226" s="58" t="s">
        <v>629</v>
      </c>
      <c r="F226" s="58"/>
      <c r="G226" s="58"/>
    </row>
    <row r="227" spans="2:7" x14ac:dyDescent="0.25">
      <c r="C227" s="58"/>
      <c r="D227" s="58"/>
      <c r="E227" s="58"/>
      <c r="F227" s="58"/>
      <c r="G227" s="58"/>
    </row>
    <row r="228" spans="2:7" x14ac:dyDescent="0.25">
      <c r="C228" s="58"/>
      <c r="D228" s="58" t="s">
        <v>630</v>
      </c>
      <c r="G228" s="58"/>
    </row>
    <row r="229" spans="2:7" x14ac:dyDescent="0.25">
      <c r="C229" s="58"/>
      <c r="D229" s="58" t="s">
        <v>631</v>
      </c>
      <c r="G229" s="58"/>
    </row>
    <row r="230" spans="2:7" x14ac:dyDescent="0.25">
      <c r="C230" s="58"/>
      <c r="D230" s="58"/>
      <c r="E230" s="58" t="s">
        <v>632</v>
      </c>
      <c r="G230" s="58"/>
    </row>
    <row r="231" spans="2:7" x14ac:dyDescent="0.25">
      <c r="E231" s="58" t="s">
        <v>633</v>
      </c>
    </row>
    <row r="232" spans="2:7" x14ac:dyDescent="0.25">
      <c r="E232" t="s">
        <v>711</v>
      </c>
    </row>
    <row r="233" spans="2:7" x14ac:dyDescent="0.25">
      <c r="B233" s="58" t="s">
        <v>634</v>
      </c>
    </row>
    <row r="234" spans="2:7" x14ac:dyDescent="0.25">
      <c r="B234" s="58" t="s">
        <v>635</v>
      </c>
      <c r="C234" s="58"/>
    </row>
    <row r="235" spans="2:7" x14ac:dyDescent="0.25">
      <c r="C235" s="58"/>
    </row>
    <row r="236" spans="2:7" x14ac:dyDescent="0.25">
      <c r="B236" s="495" t="s">
        <v>636</v>
      </c>
    </row>
    <row r="237" spans="2:7" x14ac:dyDescent="0.25">
      <c r="B237" s="58" t="s">
        <v>637</v>
      </c>
    </row>
    <row r="238" spans="2:7" x14ac:dyDescent="0.25">
      <c r="B238" s="58" t="s">
        <v>638</v>
      </c>
    </row>
    <row r="239" spans="2:7" x14ac:dyDescent="0.25">
      <c r="B239" s="58" t="s">
        <v>639</v>
      </c>
    </row>
    <row r="240" spans="2:7" x14ac:dyDescent="0.25">
      <c r="B240" s="58" t="s">
        <v>640</v>
      </c>
    </row>
    <row r="241" spans="2:14" x14ac:dyDescent="0.25">
      <c r="B241" s="58"/>
    </row>
    <row r="242" spans="2:14" x14ac:dyDescent="0.25">
      <c r="B242" s="545" t="s">
        <v>710</v>
      </c>
      <c r="C242" s="544"/>
      <c r="D242" s="544"/>
      <c r="E242" s="544"/>
      <c r="F242" s="544"/>
      <c r="G242" s="544"/>
      <c r="H242" s="544"/>
      <c r="I242" s="544"/>
      <c r="J242" s="544"/>
      <c r="K242" s="544"/>
      <c r="L242" s="544"/>
      <c r="M242" s="544"/>
      <c r="N242" s="544"/>
    </row>
    <row r="243" spans="2:14" x14ac:dyDescent="0.25">
      <c r="B243" s="545" t="s">
        <v>709</v>
      </c>
      <c r="C243" s="544"/>
      <c r="D243" s="544"/>
      <c r="E243" s="544"/>
      <c r="F243" s="544"/>
      <c r="G243" s="544"/>
      <c r="H243" s="544"/>
      <c r="I243" s="544"/>
      <c r="J243" s="544"/>
      <c r="K243" s="544"/>
      <c r="L243" s="544"/>
      <c r="M243" s="544"/>
      <c r="N243" s="544"/>
    </row>
    <row r="245" spans="2:14" x14ac:dyDescent="0.25">
      <c r="B245" t="s">
        <v>776</v>
      </c>
    </row>
  </sheetData>
  <mergeCells count="10">
    <mergeCell ref="B28:C36"/>
    <mergeCell ref="E28:F36"/>
    <mergeCell ref="H28:I36"/>
    <mergeCell ref="K28:L36"/>
    <mergeCell ref="J1:P1"/>
    <mergeCell ref="B7:C15"/>
    <mergeCell ref="I7:J15"/>
    <mergeCell ref="E26:F26"/>
    <mergeCell ref="H26:I26"/>
    <mergeCell ref="K26:L26"/>
  </mergeCells>
  <phoneticPr fontId="76"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37" zoomScale="125" zoomScaleNormal="130" workbookViewId="0">
      <selection activeCell="A146" sqref="A146"/>
    </sheetView>
  </sheetViews>
  <sheetFormatPr baseColWidth="10" defaultRowHeight="15" x14ac:dyDescent="0.25"/>
  <cols>
    <col min="1" max="1" width="14.85546875" customWidth="1"/>
    <col min="2" max="2" width="13.28515625" customWidth="1"/>
    <col min="3" max="3" width="12.5703125" customWidth="1"/>
    <col min="4" max="4" width="16.140625" style="52"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110</v>
      </c>
    </row>
    <row r="2" spans="1:16" s="64" customFormat="1" ht="26.25" hidden="1" customHeight="1" x14ac:dyDescent="0.2">
      <c r="A2" s="69" t="s">
        <v>80</v>
      </c>
      <c r="B2" s="69" t="s">
        <v>111</v>
      </c>
      <c r="C2" s="69" t="s">
        <v>112</v>
      </c>
      <c r="D2" s="69" t="s">
        <v>113</v>
      </c>
      <c r="E2" s="69" t="s">
        <v>114</v>
      </c>
      <c r="F2" s="69"/>
      <c r="G2" s="69"/>
      <c r="H2" s="69"/>
      <c r="I2" s="69"/>
      <c r="J2" s="69"/>
      <c r="K2" s="69" t="s">
        <v>115</v>
      </c>
      <c r="L2" s="69" t="s">
        <v>116</v>
      </c>
      <c r="M2" s="69" t="s">
        <v>117</v>
      </c>
      <c r="N2" s="69" t="s">
        <v>118</v>
      </c>
      <c r="O2" s="69" t="s">
        <v>119</v>
      </c>
      <c r="P2" s="69" t="s">
        <v>120</v>
      </c>
    </row>
    <row r="3" spans="1:16" s="58" customFormat="1" ht="20.25" hidden="1" customHeight="1" x14ac:dyDescent="0.25">
      <c r="A3" s="65" t="s">
        <v>99</v>
      </c>
      <c r="B3" s="70">
        <v>4910.7999999999993</v>
      </c>
      <c r="C3" s="71">
        <v>3428</v>
      </c>
      <c r="D3" s="72">
        <f>C3</f>
        <v>3428</v>
      </c>
      <c r="E3" s="72">
        <f>B3</f>
        <v>4910.7999999999993</v>
      </c>
      <c r="F3" s="72"/>
      <c r="G3" s="72"/>
      <c r="H3" s="72"/>
      <c r="I3" s="72"/>
      <c r="J3" s="72"/>
      <c r="K3" s="72">
        <f t="shared" ref="K3:K14" si="0">MIN(D3,E3)</f>
        <v>3428</v>
      </c>
      <c r="L3" s="72">
        <f>K3</f>
        <v>3428</v>
      </c>
      <c r="M3" s="72">
        <f>IF(E3&gt;D3,IF((E3-D3)&gt;3*D3,3*D3,E3-D3),0)</f>
        <v>1482.7999999999993</v>
      </c>
      <c r="N3" s="72">
        <f>M3</f>
        <v>1482.7999999999993</v>
      </c>
      <c r="O3" s="72">
        <f>IF(E3&gt;8*D3,7*D3,IF(E3&lt;D3,0,E3-D3))</f>
        <v>1482.7999999999993</v>
      </c>
      <c r="P3" s="72">
        <f>O3</f>
        <v>1482.7999999999993</v>
      </c>
    </row>
    <row r="4" spans="1:16" s="58" customFormat="1" ht="20.25" hidden="1" customHeight="1" x14ac:dyDescent="0.25">
      <c r="A4" s="65" t="s">
        <v>121</v>
      </c>
      <c r="B4" s="70">
        <v>0</v>
      </c>
      <c r="C4" s="71">
        <v>0</v>
      </c>
      <c r="D4" s="72">
        <f>D3+C4</f>
        <v>3428</v>
      </c>
      <c r="E4" s="72">
        <f>E3+B4</f>
        <v>4910.7999999999993</v>
      </c>
      <c r="F4" s="72"/>
      <c r="G4" s="72"/>
      <c r="H4" s="72"/>
      <c r="I4" s="72"/>
      <c r="J4" s="72"/>
      <c r="K4" s="72">
        <f t="shared" si="0"/>
        <v>3428</v>
      </c>
      <c r="L4" s="72">
        <f t="shared" ref="L4:L14" si="1">K4-K3</f>
        <v>0</v>
      </c>
      <c r="M4" s="72">
        <f t="shared" ref="M4:M14" si="2">IF(E4&gt;D4,IF((E4-D4)&gt;3*D4,3*D4,E4-D4),0)</f>
        <v>1482.7999999999993</v>
      </c>
      <c r="N4" s="72">
        <f t="shared" ref="N4:N14" si="3">M4-M3</f>
        <v>0</v>
      </c>
      <c r="O4" s="72">
        <f>IF(E4&gt;8*D4,7*D4,IF(E4&lt;D4,0,E4-D4))</f>
        <v>1482.7999999999993</v>
      </c>
      <c r="P4" s="72">
        <f t="shared" ref="P4:P14" si="4">O4-O3</f>
        <v>0</v>
      </c>
    </row>
    <row r="5" spans="1:16" s="58" customFormat="1" ht="20.25" hidden="1" customHeight="1" x14ac:dyDescent="0.25">
      <c r="A5" s="65" t="s">
        <v>100</v>
      </c>
      <c r="B5" s="70" t="e">
        <v>#DIV/0!</v>
      </c>
      <c r="C5" s="71">
        <v>0</v>
      </c>
      <c r="D5" s="72">
        <f>D4+C5</f>
        <v>3428</v>
      </c>
      <c r="E5" s="72" t="e">
        <f>E4+B5</f>
        <v>#DIV/0!</v>
      </c>
      <c r="F5" s="72"/>
      <c r="G5" s="72"/>
      <c r="H5" s="72"/>
      <c r="I5" s="72"/>
      <c r="J5" s="72"/>
      <c r="K5" s="72" t="e">
        <f t="shared" si="0"/>
        <v>#DIV/0!</v>
      </c>
      <c r="L5" s="72" t="e">
        <f t="shared" si="1"/>
        <v>#DIV/0!</v>
      </c>
      <c r="M5" s="72" t="e">
        <f t="shared" si="2"/>
        <v>#DIV/0!</v>
      </c>
      <c r="N5" s="72" t="e">
        <f t="shared" si="3"/>
        <v>#DIV/0!</v>
      </c>
      <c r="O5" s="72" t="e">
        <f t="shared" ref="O5:O14" si="5">IF(E5&gt;8*D5,7*D5,IF(E5&lt;D5,0,E5-D5))</f>
        <v>#DIV/0!</v>
      </c>
      <c r="P5" s="72" t="e">
        <f t="shared" si="4"/>
        <v>#DIV/0!</v>
      </c>
    </row>
    <row r="6" spans="1:16" s="58" customFormat="1" ht="20.25" hidden="1" customHeight="1" x14ac:dyDescent="0.25">
      <c r="A6" s="65" t="s">
        <v>122</v>
      </c>
      <c r="B6" s="70" t="e">
        <v>#DIV/0!</v>
      </c>
      <c r="C6" s="71">
        <v>0</v>
      </c>
      <c r="D6" s="72">
        <f>D5+C6</f>
        <v>3428</v>
      </c>
      <c r="E6" s="72" t="e">
        <f>E5+B6</f>
        <v>#DIV/0!</v>
      </c>
      <c r="F6" s="72"/>
      <c r="G6" s="72"/>
      <c r="H6" s="72"/>
      <c r="I6" s="72"/>
      <c r="J6" s="72"/>
      <c r="K6" s="72" t="e">
        <f t="shared" si="0"/>
        <v>#DIV/0!</v>
      </c>
      <c r="L6" s="72" t="e">
        <f t="shared" si="1"/>
        <v>#DIV/0!</v>
      </c>
      <c r="M6" s="72" t="e">
        <f t="shared" si="2"/>
        <v>#DIV/0!</v>
      </c>
      <c r="N6" s="72" t="e">
        <f t="shared" si="3"/>
        <v>#DIV/0!</v>
      </c>
      <c r="O6" s="72" t="e">
        <f t="shared" si="5"/>
        <v>#DIV/0!</v>
      </c>
      <c r="P6" s="72" t="e">
        <f t="shared" si="4"/>
        <v>#DIV/0!</v>
      </c>
    </row>
    <row r="7" spans="1:16" s="58" customFormat="1" ht="20.25" hidden="1" customHeight="1" x14ac:dyDescent="0.25">
      <c r="A7" s="65" t="s">
        <v>103</v>
      </c>
      <c r="B7" s="70" t="e">
        <v>#DIV/0!</v>
      </c>
      <c r="C7" s="71">
        <v>0</v>
      </c>
      <c r="D7" s="72">
        <f t="shared" ref="D7:D14" si="6">D6+C7</f>
        <v>3428</v>
      </c>
      <c r="E7" s="72" t="e">
        <f t="shared" ref="E7:E14" si="7">E6+B7</f>
        <v>#DIV/0!</v>
      </c>
      <c r="F7" s="72"/>
      <c r="G7" s="72"/>
      <c r="H7" s="72"/>
      <c r="I7" s="72"/>
      <c r="J7" s="72"/>
      <c r="K7" s="72" t="e">
        <f t="shared" si="0"/>
        <v>#DIV/0!</v>
      </c>
      <c r="L7" s="72" t="e">
        <f t="shared" si="1"/>
        <v>#DIV/0!</v>
      </c>
      <c r="M7" s="72" t="e">
        <f t="shared" si="2"/>
        <v>#DIV/0!</v>
      </c>
      <c r="N7" s="72" t="e">
        <f t="shared" si="3"/>
        <v>#DIV/0!</v>
      </c>
      <c r="O7" s="72" t="e">
        <f t="shared" si="5"/>
        <v>#DIV/0!</v>
      </c>
      <c r="P7" s="72" t="e">
        <f t="shared" si="4"/>
        <v>#DIV/0!</v>
      </c>
    </row>
    <row r="8" spans="1:16" s="58" customFormat="1" ht="20.25" hidden="1" customHeight="1" x14ac:dyDescent="0.25">
      <c r="A8" s="65" t="s">
        <v>101</v>
      </c>
      <c r="B8" s="70" t="e">
        <v>#DIV/0!</v>
      </c>
      <c r="C8" s="71">
        <v>0</v>
      </c>
      <c r="D8" s="71">
        <f t="shared" si="6"/>
        <v>3428</v>
      </c>
      <c r="E8" s="71" t="e">
        <f t="shared" si="7"/>
        <v>#DIV/0!</v>
      </c>
      <c r="F8" s="71"/>
      <c r="G8" s="71"/>
      <c r="H8" s="71"/>
      <c r="I8" s="71"/>
      <c r="J8" s="71"/>
      <c r="K8" s="72" t="e">
        <f t="shared" si="0"/>
        <v>#DIV/0!</v>
      </c>
      <c r="L8" s="72" t="e">
        <f t="shared" si="1"/>
        <v>#DIV/0!</v>
      </c>
      <c r="M8" s="72" t="e">
        <f t="shared" si="2"/>
        <v>#DIV/0!</v>
      </c>
      <c r="N8" s="72" t="e">
        <f t="shared" si="3"/>
        <v>#DIV/0!</v>
      </c>
      <c r="O8" s="72" t="e">
        <f t="shared" si="5"/>
        <v>#DIV/0!</v>
      </c>
      <c r="P8" s="72" t="e">
        <f t="shared" si="4"/>
        <v>#DIV/0!</v>
      </c>
    </row>
    <row r="9" spans="1:16" s="58" customFormat="1" ht="20.25" hidden="1" customHeight="1" x14ac:dyDescent="0.25">
      <c r="A9" s="65" t="s">
        <v>104</v>
      </c>
      <c r="B9" s="70" t="e">
        <v>#DIV/0!</v>
      </c>
      <c r="C9" s="71">
        <v>0</v>
      </c>
      <c r="D9" s="71">
        <f t="shared" si="6"/>
        <v>3428</v>
      </c>
      <c r="E9" s="71" t="e">
        <f t="shared" si="7"/>
        <v>#DIV/0!</v>
      </c>
      <c r="F9" s="71"/>
      <c r="G9" s="71"/>
      <c r="H9" s="71"/>
      <c r="I9" s="71"/>
      <c r="J9" s="71"/>
      <c r="K9" s="72" t="e">
        <f t="shared" si="0"/>
        <v>#DIV/0!</v>
      </c>
      <c r="L9" s="72" t="e">
        <f t="shared" si="1"/>
        <v>#DIV/0!</v>
      </c>
      <c r="M9" s="72" t="e">
        <f t="shared" si="2"/>
        <v>#DIV/0!</v>
      </c>
      <c r="N9" s="72" t="e">
        <f t="shared" si="3"/>
        <v>#DIV/0!</v>
      </c>
      <c r="O9" s="72" t="e">
        <f t="shared" si="5"/>
        <v>#DIV/0!</v>
      </c>
      <c r="P9" s="72" t="e">
        <f t="shared" si="4"/>
        <v>#DIV/0!</v>
      </c>
    </row>
    <row r="10" spans="1:16" s="58" customFormat="1" ht="20.25" hidden="1" customHeight="1" x14ac:dyDescent="0.25">
      <c r="A10" s="65" t="s">
        <v>105</v>
      </c>
      <c r="B10" s="70" t="e">
        <v>#DIV/0!</v>
      </c>
      <c r="C10" s="71">
        <v>0</v>
      </c>
      <c r="D10" s="71">
        <f t="shared" si="6"/>
        <v>3428</v>
      </c>
      <c r="E10" s="71" t="e">
        <f t="shared" si="7"/>
        <v>#DIV/0!</v>
      </c>
      <c r="F10" s="71"/>
      <c r="G10" s="71"/>
      <c r="H10" s="71"/>
      <c r="I10" s="71"/>
      <c r="J10" s="71"/>
      <c r="K10" s="72" t="e">
        <f t="shared" si="0"/>
        <v>#DIV/0!</v>
      </c>
      <c r="L10" s="72" t="e">
        <f t="shared" si="1"/>
        <v>#DIV/0!</v>
      </c>
      <c r="M10" s="72" t="e">
        <f t="shared" si="2"/>
        <v>#DIV/0!</v>
      </c>
      <c r="N10" s="72" t="e">
        <f t="shared" si="3"/>
        <v>#DIV/0!</v>
      </c>
      <c r="O10" s="72" t="e">
        <f t="shared" si="5"/>
        <v>#DIV/0!</v>
      </c>
      <c r="P10" s="72" t="e">
        <f t="shared" si="4"/>
        <v>#DIV/0!</v>
      </c>
    </row>
    <row r="11" spans="1:16" s="58" customFormat="1" ht="20.25" hidden="1" customHeight="1" x14ac:dyDescent="0.25">
      <c r="A11" s="65" t="s">
        <v>106</v>
      </c>
      <c r="B11" s="70" t="e">
        <v>#DIV/0!</v>
      </c>
      <c r="C11" s="71">
        <v>0</v>
      </c>
      <c r="D11" s="71">
        <f t="shared" si="6"/>
        <v>3428</v>
      </c>
      <c r="E11" s="71" t="e">
        <f t="shared" si="7"/>
        <v>#DIV/0!</v>
      </c>
      <c r="F11" s="71"/>
      <c r="G11" s="71"/>
      <c r="H11" s="71"/>
      <c r="I11" s="71"/>
      <c r="J11" s="71"/>
      <c r="K11" s="72" t="e">
        <f t="shared" si="0"/>
        <v>#DIV/0!</v>
      </c>
      <c r="L11" s="72" t="e">
        <f t="shared" si="1"/>
        <v>#DIV/0!</v>
      </c>
      <c r="M11" s="72" t="e">
        <f t="shared" si="2"/>
        <v>#DIV/0!</v>
      </c>
      <c r="N11" s="72" t="e">
        <f t="shared" si="3"/>
        <v>#DIV/0!</v>
      </c>
      <c r="O11" s="72" t="e">
        <f t="shared" si="5"/>
        <v>#DIV/0!</v>
      </c>
      <c r="P11" s="72" t="e">
        <f t="shared" si="4"/>
        <v>#DIV/0!</v>
      </c>
    </row>
    <row r="12" spans="1:16" s="58" customFormat="1" ht="20.25" hidden="1" customHeight="1" x14ac:dyDescent="0.25">
      <c r="A12" s="65" t="s">
        <v>102</v>
      </c>
      <c r="B12" s="70" t="e">
        <v>#DIV/0!</v>
      </c>
      <c r="C12" s="71">
        <v>0</v>
      </c>
      <c r="D12" s="71">
        <f t="shared" si="6"/>
        <v>3428</v>
      </c>
      <c r="E12" s="71" t="e">
        <f t="shared" si="7"/>
        <v>#DIV/0!</v>
      </c>
      <c r="F12" s="71"/>
      <c r="G12" s="71"/>
      <c r="H12" s="71"/>
      <c r="I12" s="71"/>
      <c r="J12" s="71"/>
      <c r="K12" s="72" t="e">
        <f t="shared" si="0"/>
        <v>#DIV/0!</v>
      </c>
      <c r="L12" s="72" t="e">
        <f t="shared" si="1"/>
        <v>#DIV/0!</v>
      </c>
      <c r="M12" s="72" t="e">
        <f t="shared" si="2"/>
        <v>#DIV/0!</v>
      </c>
      <c r="N12" s="72" t="e">
        <f t="shared" si="3"/>
        <v>#DIV/0!</v>
      </c>
      <c r="O12" s="72" t="e">
        <f t="shared" si="5"/>
        <v>#DIV/0!</v>
      </c>
      <c r="P12" s="72" t="e">
        <f t="shared" si="4"/>
        <v>#DIV/0!</v>
      </c>
    </row>
    <row r="13" spans="1:16" s="58" customFormat="1" ht="20.25" hidden="1" customHeight="1" x14ac:dyDescent="0.25">
      <c r="A13" s="65" t="s">
        <v>107</v>
      </c>
      <c r="B13" s="70" t="e">
        <v>#DIV/0!</v>
      </c>
      <c r="C13" s="71">
        <v>0</v>
      </c>
      <c r="D13" s="71">
        <f t="shared" si="6"/>
        <v>3428</v>
      </c>
      <c r="E13" s="71" t="e">
        <f t="shared" si="7"/>
        <v>#DIV/0!</v>
      </c>
      <c r="F13" s="71"/>
      <c r="G13" s="71"/>
      <c r="H13" s="71"/>
      <c r="I13" s="71"/>
      <c r="J13" s="71"/>
      <c r="K13" s="72" t="e">
        <f t="shared" si="0"/>
        <v>#DIV/0!</v>
      </c>
      <c r="L13" s="72" t="e">
        <f t="shared" si="1"/>
        <v>#DIV/0!</v>
      </c>
      <c r="M13" s="72" t="e">
        <f t="shared" si="2"/>
        <v>#DIV/0!</v>
      </c>
      <c r="N13" s="72" t="e">
        <f t="shared" si="3"/>
        <v>#DIV/0!</v>
      </c>
      <c r="O13" s="72" t="e">
        <f t="shared" si="5"/>
        <v>#DIV/0!</v>
      </c>
      <c r="P13" s="72" t="e">
        <f t="shared" si="4"/>
        <v>#DIV/0!</v>
      </c>
    </row>
    <row r="14" spans="1:16" s="58" customFormat="1" ht="20.25" hidden="1" customHeight="1" x14ac:dyDescent="0.25">
      <c r="A14" s="65" t="s">
        <v>108</v>
      </c>
      <c r="B14" s="70" t="e">
        <v>#DIV/0!</v>
      </c>
      <c r="C14" s="71">
        <v>0</v>
      </c>
      <c r="D14" s="71">
        <f t="shared" si="6"/>
        <v>3428</v>
      </c>
      <c r="E14" s="71" t="e">
        <f t="shared" si="7"/>
        <v>#DIV/0!</v>
      </c>
      <c r="F14" s="71"/>
      <c r="G14" s="71"/>
      <c r="H14" s="71"/>
      <c r="I14" s="71"/>
      <c r="J14" s="71"/>
      <c r="K14" s="72" t="e">
        <f t="shared" si="0"/>
        <v>#DIV/0!</v>
      </c>
      <c r="L14" s="72" t="e">
        <f t="shared" si="1"/>
        <v>#DIV/0!</v>
      </c>
      <c r="M14" s="72" t="e">
        <f t="shared" si="2"/>
        <v>#DIV/0!</v>
      </c>
      <c r="N14" s="72" t="e">
        <f t="shared" si="3"/>
        <v>#DIV/0!</v>
      </c>
      <c r="O14" s="72" t="e">
        <f t="shared" si="5"/>
        <v>#DIV/0!</v>
      </c>
      <c r="P14" s="72" t="e">
        <f t="shared" si="4"/>
        <v>#DIV/0!</v>
      </c>
    </row>
    <row r="15" spans="1:16" s="58" customFormat="1" ht="20.25" hidden="1" customHeight="1" x14ac:dyDescent="0.25">
      <c r="B15" s="73" t="e">
        <v>#DIV/0!</v>
      </c>
      <c r="C15" s="74">
        <v>0</v>
      </c>
      <c r="D15" s="60"/>
    </row>
    <row r="16" spans="1:16" ht="20.25" hidden="1" customHeight="1" x14ac:dyDescent="0.25"/>
    <row r="17" spans="1:18" ht="20.25" hidden="1" customHeight="1" x14ac:dyDescent="0.25"/>
    <row r="18" spans="1:18" ht="20.25" hidden="1" customHeight="1" x14ac:dyDescent="0.25">
      <c r="A18" t="s">
        <v>123</v>
      </c>
    </row>
    <row r="19" spans="1:18" s="58" customFormat="1" ht="20.25" hidden="1" customHeight="1" x14ac:dyDescent="0.25">
      <c r="A19" s="742" t="s">
        <v>124</v>
      </c>
      <c r="B19" s="742"/>
      <c r="C19" s="742"/>
      <c r="D19" s="742"/>
      <c r="E19" s="742"/>
      <c r="F19" s="742"/>
      <c r="G19" s="742"/>
      <c r="H19" s="742"/>
      <c r="I19" s="742"/>
      <c r="J19" s="742"/>
      <c r="K19" s="742"/>
      <c r="L19" s="742"/>
      <c r="M19" s="742"/>
      <c r="N19" s="870"/>
      <c r="O19" s="870"/>
      <c r="P19" s="870"/>
      <c r="Q19" s="870"/>
    </row>
    <row r="20" spans="1:18" s="58" customFormat="1" ht="12.75" customHeight="1" x14ac:dyDescent="0.25">
      <c r="A20" s="61"/>
      <c r="B20" s="177"/>
      <c r="C20" s="177"/>
      <c r="D20" s="177"/>
      <c r="E20" s="177"/>
      <c r="F20" s="177"/>
      <c r="G20" s="177"/>
      <c r="H20" s="177"/>
      <c r="I20" s="177"/>
      <c r="J20" s="61"/>
      <c r="K20" s="61"/>
      <c r="L20" s="61"/>
      <c r="M20" s="61"/>
      <c r="N20" s="176"/>
      <c r="O20" s="176"/>
      <c r="P20" s="176"/>
      <c r="Q20" s="176"/>
    </row>
    <row r="21" spans="1:18" s="58" customFormat="1" ht="25.5" customHeight="1" x14ac:dyDescent="0.25">
      <c r="B21" s="1022" t="s">
        <v>191</v>
      </c>
      <c r="C21" s="1022"/>
      <c r="D21" s="1022"/>
      <c r="E21" s="1022"/>
      <c r="F21" s="1022"/>
      <c r="G21" s="1022"/>
      <c r="H21" s="1022"/>
      <c r="I21" s="1022"/>
      <c r="J21" s="75"/>
      <c r="N21" s="872"/>
      <c r="O21" s="872"/>
      <c r="P21" s="872"/>
      <c r="Q21" s="872"/>
    </row>
    <row r="22" spans="1:18" s="58" customFormat="1" ht="20.25" hidden="1" customHeight="1" x14ac:dyDescent="0.25">
      <c r="A22" s="76" t="s">
        <v>125</v>
      </c>
      <c r="B22" s="76" t="s">
        <v>126</v>
      </c>
      <c r="C22" s="76" t="s">
        <v>127</v>
      </c>
      <c r="D22" s="76" t="s">
        <v>128</v>
      </c>
      <c r="E22" s="76" t="s">
        <v>129</v>
      </c>
      <c r="F22" s="76"/>
      <c r="G22" s="76"/>
      <c r="H22" s="76"/>
      <c r="I22" s="76"/>
      <c r="J22" s="76"/>
      <c r="K22" s="76" t="s">
        <v>130</v>
      </c>
      <c r="L22" s="76" t="s">
        <v>131</v>
      </c>
      <c r="M22" s="76" t="s">
        <v>132</v>
      </c>
      <c r="N22" s="76" t="s">
        <v>133</v>
      </c>
    </row>
    <row r="23" spans="1:18" s="78" customFormat="1" ht="20.25" hidden="1" customHeight="1" x14ac:dyDescent="0.2">
      <c r="A23" s="77" t="s">
        <v>80</v>
      </c>
      <c r="B23" s="77" t="s">
        <v>111</v>
      </c>
      <c r="C23" s="77" t="s">
        <v>112</v>
      </c>
      <c r="D23" s="77" t="s">
        <v>113</v>
      </c>
      <c r="E23" s="77" t="s">
        <v>114</v>
      </c>
      <c r="F23" s="77"/>
      <c r="G23" s="77"/>
      <c r="H23" s="77"/>
      <c r="I23" s="77"/>
      <c r="J23" s="77"/>
      <c r="K23" s="77" t="s">
        <v>134</v>
      </c>
      <c r="L23" s="77" t="s">
        <v>135</v>
      </c>
      <c r="M23" s="77" t="s">
        <v>119</v>
      </c>
      <c r="N23" s="77" t="s">
        <v>120</v>
      </c>
      <c r="R23" s="79"/>
    </row>
    <row r="24" spans="1:18" s="58" customFormat="1" ht="20.25" hidden="1" customHeight="1" x14ac:dyDescent="0.25">
      <c r="A24" s="80" t="s">
        <v>99</v>
      </c>
      <c r="B24" s="81">
        <v>4910.7999999999993</v>
      </c>
      <c r="C24" s="82">
        <v>3428</v>
      </c>
      <c r="D24" s="82">
        <f>C24</f>
        <v>3428</v>
      </c>
      <c r="E24" s="82">
        <f>B24</f>
        <v>4910.7999999999993</v>
      </c>
      <c r="F24" s="82"/>
      <c r="G24" s="82"/>
      <c r="H24" s="82"/>
      <c r="I24" s="82"/>
      <c r="J24" s="82"/>
      <c r="K24" s="83">
        <f>IF(E24&lt;D24,0,MIN(E24,D24))</f>
        <v>3428</v>
      </c>
      <c r="L24" s="82">
        <f>K24</f>
        <v>3428</v>
      </c>
      <c r="M24" s="83">
        <f>IF(E24&gt;8*D24,7*D24,IF(E24&lt;D24,0,E24-D24))</f>
        <v>1482.7999999999993</v>
      </c>
      <c r="N24" s="82">
        <f>M24</f>
        <v>1482.7999999999993</v>
      </c>
      <c r="R24" s="84"/>
    </row>
    <row r="25" spans="1:18" s="58" customFormat="1" ht="20.25" hidden="1" customHeight="1" x14ac:dyDescent="0.25">
      <c r="A25" s="80" t="s">
        <v>121</v>
      </c>
      <c r="B25" s="81">
        <v>0</v>
      </c>
      <c r="C25" s="82">
        <v>0</v>
      </c>
      <c r="D25" s="82">
        <f>D24+C25</f>
        <v>3428</v>
      </c>
      <c r="E25" s="82">
        <f>E24+B25</f>
        <v>4910.7999999999993</v>
      </c>
      <c r="F25" s="82"/>
      <c r="G25" s="82"/>
      <c r="H25" s="82"/>
      <c r="I25" s="82"/>
      <c r="J25" s="82"/>
      <c r="K25" s="82">
        <f t="shared" ref="K25:K35" si="8">IF(E25&lt;D25,0,MIN(E25,D25))</f>
        <v>3428</v>
      </c>
      <c r="L25" s="82">
        <f>K25-K24</f>
        <v>0</v>
      </c>
      <c r="M25" s="83">
        <f>IF(E25&gt;8*D25,7*D25,IF(E25&lt;D25,0,E25-D25))</f>
        <v>1482.7999999999993</v>
      </c>
      <c r="N25" s="82">
        <f>M25-M24</f>
        <v>0</v>
      </c>
      <c r="R25" s="84"/>
    </row>
    <row r="26" spans="1:18" s="58" customFormat="1" ht="20.25" hidden="1" customHeight="1" x14ac:dyDescent="0.25">
      <c r="A26" s="80" t="s">
        <v>100</v>
      </c>
      <c r="B26" s="81" t="e">
        <v>#DIV/0!</v>
      </c>
      <c r="C26" s="82">
        <v>0</v>
      </c>
      <c r="D26" s="82">
        <f>D25+C26</f>
        <v>3428</v>
      </c>
      <c r="E26" s="82" t="e">
        <f>E25+B26</f>
        <v>#DIV/0!</v>
      </c>
      <c r="F26" s="82"/>
      <c r="G26" s="82"/>
      <c r="H26" s="82"/>
      <c r="I26" s="82"/>
      <c r="J26" s="82"/>
      <c r="K26" s="82" t="e">
        <f t="shared" si="8"/>
        <v>#DIV/0!</v>
      </c>
      <c r="L26" s="82" t="e">
        <f>K26-K25</f>
        <v>#DIV/0!</v>
      </c>
      <c r="M26" s="83" t="e">
        <f t="shared" ref="M26:M35" si="9">IF(E26&gt;8*D26,7*D26,IF(E26&lt;D26,0,E26-D26))</f>
        <v>#DIV/0!</v>
      </c>
      <c r="N26" s="82" t="e">
        <f t="shared" ref="N26:N35" si="10">M26-M25</f>
        <v>#DIV/0!</v>
      </c>
      <c r="R26" s="84"/>
    </row>
    <row r="27" spans="1:18" s="58" customFormat="1" ht="20.25" hidden="1" customHeight="1" x14ac:dyDescent="0.25">
      <c r="A27" s="80" t="s">
        <v>122</v>
      </c>
      <c r="B27" s="81" t="e">
        <v>#DIV/0!</v>
      </c>
      <c r="C27" s="82">
        <v>0</v>
      </c>
      <c r="D27" s="82">
        <f>D26+C27</f>
        <v>3428</v>
      </c>
      <c r="E27" s="82" t="e">
        <f>E26+B27</f>
        <v>#DIV/0!</v>
      </c>
      <c r="F27" s="82"/>
      <c r="G27" s="82"/>
      <c r="H27" s="82"/>
      <c r="I27" s="82"/>
      <c r="J27" s="82"/>
      <c r="K27" s="82" t="e">
        <f t="shared" si="8"/>
        <v>#DIV/0!</v>
      </c>
      <c r="L27" s="82" t="e">
        <f t="shared" ref="L27:L35" si="11">K27-K26</f>
        <v>#DIV/0!</v>
      </c>
      <c r="M27" s="83" t="e">
        <f t="shared" si="9"/>
        <v>#DIV/0!</v>
      </c>
      <c r="N27" s="82" t="e">
        <f t="shared" si="10"/>
        <v>#DIV/0!</v>
      </c>
      <c r="R27" s="84"/>
    </row>
    <row r="28" spans="1:18" s="58" customFormat="1" ht="20.25" hidden="1" customHeight="1" x14ac:dyDescent="0.25">
      <c r="A28" s="80" t="s">
        <v>103</v>
      </c>
      <c r="B28" s="81" t="e">
        <v>#DIV/0!</v>
      </c>
      <c r="C28" s="82">
        <v>0</v>
      </c>
      <c r="D28" s="82">
        <f t="shared" ref="D28:D35" si="12">D27+C28</f>
        <v>3428</v>
      </c>
      <c r="E28" s="82" t="e">
        <f t="shared" ref="E28:E35" si="13">E27+B28</f>
        <v>#DIV/0!</v>
      </c>
      <c r="F28" s="82"/>
      <c r="G28" s="82"/>
      <c r="H28" s="82"/>
      <c r="I28" s="82"/>
      <c r="J28" s="82"/>
      <c r="K28" s="82" t="e">
        <f t="shared" si="8"/>
        <v>#DIV/0!</v>
      </c>
      <c r="L28" s="82" t="e">
        <f t="shared" si="11"/>
        <v>#DIV/0!</v>
      </c>
      <c r="M28" s="83" t="e">
        <f t="shared" si="9"/>
        <v>#DIV/0!</v>
      </c>
      <c r="N28" s="82" t="e">
        <f t="shared" si="10"/>
        <v>#DIV/0!</v>
      </c>
      <c r="R28" s="84"/>
    </row>
    <row r="29" spans="1:18" s="58" customFormat="1" ht="20.25" hidden="1" customHeight="1" x14ac:dyDescent="0.25">
      <c r="A29" s="80" t="s">
        <v>101</v>
      </c>
      <c r="B29" s="81" t="e">
        <v>#DIV/0!</v>
      </c>
      <c r="C29" s="82">
        <v>0</v>
      </c>
      <c r="D29" s="85">
        <f t="shared" si="12"/>
        <v>3428</v>
      </c>
      <c r="E29" s="85" t="e">
        <f t="shared" si="13"/>
        <v>#DIV/0!</v>
      </c>
      <c r="F29" s="85"/>
      <c r="G29" s="85"/>
      <c r="H29" s="85"/>
      <c r="I29" s="85"/>
      <c r="J29" s="85"/>
      <c r="K29" s="82" t="e">
        <f t="shared" si="8"/>
        <v>#DIV/0!</v>
      </c>
      <c r="L29" s="82" t="e">
        <f t="shared" si="11"/>
        <v>#DIV/0!</v>
      </c>
      <c r="M29" s="83" t="e">
        <f t="shared" si="9"/>
        <v>#DIV/0!</v>
      </c>
      <c r="N29" s="82" t="e">
        <f t="shared" si="10"/>
        <v>#DIV/0!</v>
      </c>
      <c r="R29" s="84"/>
    </row>
    <row r="30" spans="1:18" s="58" customFormat="1" ht="20.25" hidden="1" customHeight="1" x14ac:dyDescent="0.25">
      <c r="A30" s="80" t="s">
        <v>104</v>
      </c>
      <c r="B30" s="81" t="e">
        <v>#DIV/0!</v>
      </c>
      <c r="C30" s="82">
        <v>0</v>
      </c>
      <c r="D30" s="85">
        <f t="shared" si="12"/>
        <v>3428</v>
      </c>
      <c r="E30" s="85" t="e">
        <f t="shared" si="13"/>
        <v>#DIV/0!</v>
      </c>
      <c r="F30" s="85"/>
      <c r="G30" s="85"/>
      <c r="H30" s="85"/>
      <c r="I30" s="85"/>
      <c r="J30" s="85"/>
      <c r="K30" s="82" t="e">
        <f t="shared" si="8"/>
        <v>#DIV/0!</v>
      </c>
      <c r="L30" s="82" t="e">
        <f t="shared" si="11"/>
        <v>#DIV/0!</v>
      </c>
      <c r="M30" s="83" t="e">
        <f t="shared" si="9"/>
        <v>#DIV/0!</v>
      </c>
      <c r="N30" s="82" t="e">
        <f t="shared" si="10"/>
        <v>#DIV/0!</v>
      </c>
    </row>
    <row r="31" spans="1:18" s="58" customFormat="1" ht="20.25" hidden="1" customHeight="1" x14ac:dyDescent="0.25">
      <c r="A31" s="80" t="s">
        <v>105</v>
      </c>
      <c r="B31" s="81" t="e">
        <v>#DIV/0!</v>
      </c>
      <c r="C31" s="82">
        <v>0</v>
      </c>
      <c r="D31" s="85">
        <f t="shared" si="12"/>
        <v>3428</v>
      </c>
      <c r="E31" s="85" t="e">
        <f t="shared" si="13"/>
        <v>#DIV/0!</v>
      </c>
      <c r="F31" s="85"/>
      <c r="G31" s="85"/>
      <c r="H31" s="85"/>
      <c r="I31" s="85"/>
      <c r="J31" s="85"/>
      <c r="K31" s="82" t="e">
        <f t="shared" si="8"/>
        <v>#DIV/0!</v>
      </c>
      <c r="L31" s="82" t="e">
        <f t="shared" si="11"/>
        <v>#DIV/0!</v>
      </c>
      <c r="M31" s="83" t="e">
        <f t="shared" si="9"/>
        <v>#DIV/0!</v>
      </c>
      <c r="N31" s="82" t="e">
        <f t="shared" si="10"/>
        <v>#DIV/0!</v>
      </c>
    </row>
    <row r="32" spans="1:18" s="58" customFormat="1" ht="20.25" hidden="1" customHeight="1" x14ac:dyDescent="0.25">
      <c r="A32" s="80" t="s">
        <v>106</v>
      </c>
      <c r="B32" s="81" t="e">
        <v>#DIV/0!</v>
      </c>
      <c r="C32" s="82">
        <v>0</v>
      </c>
      <c r="D32" s="85">
        <f t="shared" si="12"/>
        <v>3428</v>
      </c>
      <c r="E32" s="85" t="e">
        <f t="shared" si="13"/>
        <v>#DIV/0!</v>
      </c>
      <c r="F32" s="85"/>
      <c r="G32" s="85"/>
      <c r="H32" s="85"/>
      <c r="I32" s="85"/>
      <c r="J32" s="85"/>
      <c r="K32" s="82" t="e">
        <f t="shared" si="8"/>
        <v>#DIV/0!</v>
      </c>
      <c r="L32" s="82" t="e">
        <f t="shared" si="11"/>
        <v>#DIV/0!</v>
      </c>
      <c r="M32" s="83" t="e">
        <f t="shared" si="9"/>
        <v>#DIV/0!</v>
      </c>
      <c r="N32" s="82" t="e">
        <f t="shared" si="10"/>
        <v>#DIV/0!</v>
      </c>
      <c r="R32" s="86"/>
    </row>
    <row r="33" spans="1:33" s="58" customFormat="1" ht="20.25" hidden="1" customHeight="1" x14ac:dyDescent="0.25">
      <c r="A33" s="80" t="s">
        <v>102</v>
      </c>
      <c r="B33" s="81" t="e">
        <v>#DIV/0!</v>
      </c>
      <c r="C33" s="82">
        <v>0</v>
      </c>
      <c r="D33" s="85">
        <f t="shared" si="12"/>
        <v>3428</v>
      </c>
      <c r="E33" s="85" t="e">
        <f t="shared" si="13"/>
        <v>#DIV/0!</v>
      </c>
      <c r="F33" s="85"/>
      <c r="G33" s="85"/>
      <c r="H33" s="85"/>
      <c r="I33" s="85"/>
      <c r="J33" s="85"/>
      <c r="K33" s="82" t="e">
        <f t="shared" si="8"/>
        <v>#DIV/0!</v>
      </c>
      <c r="L33" s="82" t="e">
        <f t="shared" si="11"/>
        <v>#DIV/0!</v>
      </c>
      <c r="M33" s="83" t="e">
        <f t="shared" si="9"/>
        <v>#DIV/0!</v>
      </c>
      <c r="N33" s="82" t="e">
        <f t="shared" si="10"/>
        <v>#DIV/0!</v>
      </c>
      <c r="R33" s="84"/>
    </row>
    <row r="34" spans="1:33" s="58" customFormat="1" ht="20.25" hidden="1" customHeight="1" x14ac:dyDescent="0.25">
      <c r="A34" s="80" t="s">
        <v>107</v>
      </c>
      <c r="B34" s="81" t="e">
        <v>#DIV/0!</v>
      </c>
      <c r="C34" s="82">
        <v>0</v>
      </c>
      <c r="D34" s="85">
        <f t="shared" si="12"/>
        <v>3428</v>
      </c>
      <c r="E34" s="85" t="e">
        <f t="shared" si="13"/>
        <v>#DIV/0!</v>
      </c>
      <c r="F34" s="85"/>
      <c r="G34" s="85"/>
      <c r="H34" s="85"/>
      <c r="I34" s="85"/>
      <c r="J34" s="85"/>
      <c r="K34" s="82" t="e">
        <f t="shared" si="8"/>
        <v>#DIV/0!</v>
      </c>
      <c r="L34" s="82" t="e">
        <f t="shared" si="11"/>
        <v>#DIV/0!</v>
      </c>
      <c r="M34" s="83" t="e">
        <f t="shared" si="9"/>
        <v>#DIV/0!</v>
      </c>
      <c r="N34" s="82" t="e">
        <f t="shared" si="10"/>
        <v>#DIV/0!</v>
      </c>
      <c r="R34" s="84"/>
    </row>
    <row r="35" spans="1:33" s="58" customFormat="1" ht="20.25" hidden="1" customHeight="1" x14ac:dyDescent="0.25">
      <c r="A35" s="80" t="s">
        <v>108</v>
      </c>
      <c r="B35" s="81" t="e">
        <v>#DIV/0!</v>
      </c>
      <c r="C35" s="82">
        <v>0</v>
      </c>
      <c r="D35" s="85">
        <f t="shared" si="12"/>
        <v>3428</v>
      </c>
      <c r="E35" s="85" t="e">
        <f t="shared" si="13"/>
        <v>#DIV/0!</v>
      </c>
      <c r="F35" s="85"/>
      <c r="G35" s="85"/>
      <c r="H35" s="85"/>
      <c r="I35" s="85"/>
      <c r="J35" s="85"/>
      <c r="K35" s="82" t="e">
        <f t="shared" si="8"/>
        <v>#DIV/0!</v>
      </c>
      <c r="L35" s="82" t="e">
        <f t="shared" si="11"/>
        <v>#DIV/0!</v>
      </c>
      <c r="M35" s="83" t="e">
        <f t="shared" si="9"/>
        <v>#DIV/0!</v>
      </c>
      <c r="N35" s="82" t="e">
        <f t="shared" si="10"/>
        <v>#DIV/0!</v>
      </c>
      <c r="R35" s="84"/>
    </row>
    <row r="36" spans="1:33" s="58" customFormat="1" ht="20.25" hidden="1" customHeight="1" x14ac:dyDescent="0.25">
      <c r="A36" s="87"/>
      <c r="B36" s="416" t="e">
        <v>#DIV/0!</v>
      </c>
      <c r="C36" s="417">
        <v>0</v>
      </c>
      <c r="D36" s="88"/>
      <c r="E36" s="88"/>
      <c r="F36" s="88"/>
      <c r="G36" s="88"/>
      <c r="H36" s="88"/>
      <c r="I36" s="88"/>
      <c r="J36" s="88"/>
      <c r="K36" s="88"/>
      <c r="L36" s="88"/>
      <c r="M36" s="89"/>
      <c r="N36" s="88"/>
      <c r="R36" s="84"/>
    </row>
    <row r="37" spans="1:33" s="58" customFormat="1" ht="20.25" customHeight="1" x14ac:dyDescent="0.25">
      <c r="A37" s="418"/>
      <c r="B37" s="418"/>
      <c r="C37" s="90"/>
      <c r="D37" s="90"/>
      <c r="E37" s="90"/>
      <c r="F37" s="90"/>
      <c r="G37" s="88"/>
      <c r="H37" s="88"/>
      <c r="I37" s="88"/>
      <c r="J37" s="88"/>
      <c r="K37" s="88"/>
      <c r="L37" s="88"/>
      <c r="M37" s="89"/>
      <c r="N37" s="88"/>
      <c r="R37" s="84"/>
    </row>
    <row r="38" spans="1:33" s="58" customFormat="1" ht="20.25" customHeight="1" x14ac:dyDescent="0.25">
      <c r="A38" s="419"/>
      <c r="B38" s="1024" t="s">
        <v>110</v>
      </c>
      <c r="C38" s="1025"/>
      <c r="D38" s="598" t="s">
        <v>785</v>
      </c>
      <c r="E38" s="1023" t="s">
        <v>189</v>
      </c>
      <c r="F38" s="1023"/>
      <c r="G38" s="872"/>
      <c r="H38" s="872"/>
      <c r="I38" s="872"/>
      <c r="J38" s="872"/>
      <c r="K38" s="872"/>
      <c r="L38" s="88"/>
      <c r="M38" s="89"/>
      <c r="N38" s="88"/>
      <c r="R38" s="84"/>
    </row>
    <row r="39" spans="1:33" ht="30" customHeight="1" x14ac:dyDescent="0.25">
      <c r="A39" s="419"/>
      <c r="B39" s="420"/>
      <c r="D39" s="91" t="s">
        <v>94</v>
      </c>
      <c r="E39" s="91" t="s">
        <v>141</v>
      </c>
      <c r="F39" s="92" t="s">
        <v>142</v>
      </c>
      <c r="G39" s="173"/>
      <c r="H39" s="157"/>
      <c r="I39" s="157"/>
      <c r="J39" s="157"/>
      <c r="L39" s="170" t="s">
        <v>141</v>
      </c>
      <c r="M39" s="92" t="s">
        <v>142</v>
      </c>
      <c r="N39" s="91" t="s">
        <v>141</v>
      </c>
      <c r="O39" s="92" t="s">
        <v>142</v>
      </c>
      <c r="P39" s="91" t="s">
        <v>141</v>
      </c>
      <c r="Q39" s="92" t="s">
        <v>142</v>
      </c>
      <c r="R39" s="91" t="s">
        <v>141</v>
      </c>
      <c r="S39" s="92" t="s">
        <v>142</v>
      </c>
      <c r="T39" s="91" t="s">
        <v>141</v>
      </c>
      <c r="U39" s="92" t="s">
        <v>142</v>
      </c>
      <c r="V39" s="91" t="s">
        <v>141</v>
      </c>
      <c r="W39" s="92" t="s">
        <v>142</v>
      </c>
      <c r="X39" s="91" t="s">
        <v>141</v>
      </c>
      <c r="Y39" s="92" t="s">
        <v>142</v>
      </c>
      <c r="Z39" s="91" t="s">
        <v>141</v>
      </c>
      <c r="AA39" s="92" t="s">
        <v>142</v>
      </c>
      <c r="AB39" s="91" t="s">
        <v>141</v>
      </c>
      <c r="AC39" s="92" t="s">
        <v>142</v>
      </c>
      <c r="AD39" s="91" t="s">
        <v>141</v>
      </c>
      <c r="AE39" s="92" t="s">
        <v>142</v>
      </c>
      <c r="AF39" s="91" t="s">
        <v>141</v>
      </c>
      <c r="AG39" s="92" t="s">
        <v>142</v>
      </c>
    </row>
    <row r="40" spans="1:33" ht="20.25" customHeight="1" x14ac:dyDescent="0.25">
      <c r="A40" s="419"/>
      <c r="B40" s="878" t="s">
        <v>40</v>
      </c>
      <c r="C40" s="879"/>
      <c r="D40" s="415">
        <f>'BP FORMAT JUILLET 2023'!D51</f>
        <v>6.9000000000000006E-2</v>
      </c>
      <c r="E40" s="94">
        <f>'BP FORMAT JUILLET 2023'!C51</f>
        <v>4005</v>
      </c>
      <c r="F40" s="95">
        <f>ROUND(E40*D40,2)</f>
        <v>276.35000000000002</v>
      </c>
      <c r="G40" s="174"/>
      <c r="H40" s="158"/>
      <c r="I40" s="597"/>
      <c r="J40" s="158"/>
      <c r="L40" s="171">
        <f>L4</f>
        <v>0</v>
      </c>
      <c r="M40" s="95">
        <f>ROUND(L40*D40/100,2)</f>
        <v>0</v>
      </c>
      <c r="N40" s="95" t="e">
        <f>L5</f>
        <v>#DIV/0!</v>
      </c>
      <c r="O40" s="95" t="e">
        <f>ROUND(N40*D40/100,2)</f>
        <v>#DIV/0!</v>
      </c>
      <c r="P40" s="95" t="e">
        <f>L6</f>
        <v>#DIV/0!</v>
      </c>
      <c r="Q40" s="95" t="e">
        <f>ROUND(P40*D40/100,2)</f>
        <v>#DIV/0!</v>
      </c>
      <c r="R40" s="95" t="e">
        <f>L7</f>
        <v>#DIV/0!</v>
      </c>
      <c r="S40" s="95" t="e">
        <f>ROUND(R40*D40/100,2)</f>
        <v>#DIV/0!</v>
      </c>
      <c r="T40" s="95" t="e">
        <f>+L8</f>
        <v>#DIV/0!</v>
      </c>
      <c r="U40" s="95" t="e">
        <f>+ROUND(T40*D40/100,2)</f>
        <v>#DIV/0!</v>
      </c>
      <c r="V40" s="96" t="e">
        <f>L9</f>
        <v>#DIV/0!</v>
      </c>
      <c r="W40" s="97" t="e">
        <f>ROUND(V40*D40/100,2)</f>
        <v>#DIV/0!</v>
      </c>
      <c r="X40" s="96" t="e">
        <f>L10</f>
        <v>#DIV/0!</v>
      </c>
      <c r="Y40" s="97" t="e">
        <f>ROUND(X40*D40/100,2)</f>
        <v>#DIV/0!</v>
      </c>
      <c r="Z40" s="96" t="e">
        <f>L11</f>
        <v>#DIV/0!</v>
      </c>
      <c r="AA40" s="97" t="e">
        <f>ROUND(Z40*D40/100,2)</f>
        <v>#DIV/0!</v>
      </c>
      <c r="AB40" s="96" t="e">
        <f>L12</f>
        <v>#DIV/0!</v>
      </c>
      <c r="AC40" s="98" t="e">
        <f>ROUND(AB40*D40/100,2)</f>
        <v>#DIV/0!</v>
      </c>
      <c r="AD40" s="96" t="e">
        <f>L13</f>
        <v>#DIV/0!</v>
      </c>
      <c r="AE40" s="98" t="e">
        <f>ROUND(AD40*D40/100,2)</f>
        <v>#DIV/0!</v>
      </c>
      <c r="AF40" s="96" t="e">
        <f>L14</f>
        <v>#DIV/0!</v>
      </c>
      <c r="AG40" s="98" t="e">
        <f>ROUND(AF40*D40/100,2)</f>
        <v>#DIV/0!</v>
      </c>
    </row>
    <row r="41" spans="1:33" ht="20.25" customHeight="1" x14ac:dyDescent="0.25">
      <c r="A41" s="419"/>
      <c r="B41" s="878" t="s">
        <v>41</v>
      </c>
      <c r="C41" s="879"/>
      <c r="D41" s="415">
        <f>'BP FORMAT JUILLET 2023'!D52</f>
        <v>4.0000000000000001E-3</v>
      </c>
      <c r="E41" s="94">
        <f>'BP FORMAT JUILLET 2023'!C52</f>
        <v>19802.14</v>
      </c>
      <c r="F41" s="95">
        <f t="shared" ref="F41:F47" si="14">ROUND(E41*D41,2)</f>
        <v>79.209999999999994</v>
      </c>
      <c r="G41" s="174"/>
      <c r="H41" s="158"/>
      <c r="I41" s="158"/>
      <c r="J41" s="158"/>
      <c r="L41" s="171">
        <f>B4</f>
        <v>0</v>
      </c>
      <c r="M41" s="95">
        <f t="shared" ref="M41:M48" si="15">ROUND(L41*D41/100,2)</f>
        <v>0</v>
      </c>
      <c r="N41" s="95" t="e">
        <f>B5</f>
        <v>#DIV/0!</v>
      </c>
      <c r="O41" s="95" t="e">
        <f t="shared" ref="O41:O48" si="16">ROUND(N41*D41/100,2)</f>
        <v>#DIV/0!</v>
      </c>
      <c r="P41" s="95" t="e">
        <f>B6</f>
        <v>#DIV/0!</v>
      </c>
      <c r="Q41" s="95" t="e">
        <f t="shared" ref="Q41:Q48" si="17">ROUND(P41*D41/100,2)</f>
        <v>#DIV/0!</v>
      </c>
      <c r="R41" s="95" t="e">
        <f>B7</f>
        <v>#DIV/0!</v>
      </c>
      <c r="S41" s="95" t="e">
        <f t="shared" ref="S41:S46" si="18">ROUND(R41*D41/100,2)</f>
        <v>#DIV/0!</v>
      </c>
      <c r="T41" s="95" t="e">
        <f>E8</f>
        <v>#DIV/0!</v>
      </c>
      <c r="U41" s="95" t="e">
        <f>ROUND(T41*D41/100,2)</f>
        <v>#DIV/0!</v>
      </c>
      <c r="V41" s="99" t="e">
        <f>E9</f>
        <v>#DIV/0!</v>
      </c>
      <c r="W41" s="98" t="e">
        <f>ROUND(V41*D41/100,2)</f>
        <v>#DIV/0!</v>
      </c>
      <c r="X41" s="96" t="e">
        <f>E10</f>
        <v>#DIV/0!</v>
      </c>
      <c r="Y41" s="98" t="e">
        <f>ROUND(X41*D41/100,2)</f>
        <v>#DIV/0!</v>
      </c>
      <c r="Z41" s="96" t="e">
        <f>E11</f>
        <v>#DIV/0!</v>
      </c>
      <c r="AA41" s="98" t="e">
        <f>ROUND(Z41*D41/100,2)</f>
        <v>#DIV/0!</v>
      </c>
      <c r="AB41" s="96" t="e">
        <f>E12</f>
        <v>#DIV/0!</v>
      </c>
      <c r="AC41" s="98" t="e">
        <f>ROUND(AB41*D41/100,2)</f>
        <v>#DIV/0!</v>
      </c>
      <c r="AD41" s="96" t="e">
        <f>E13</f>
        <v>#DIV/0!</v>
      </c>
      <c r="AE41" s="98" t="e">
        <f>ROUND(AD41*D41/100,2)</f>
        <v>#DIV/0!</v>
      </c>
      <c r="AF41" s="96" t="e">
        <f>E14</f>
        <v>#DIV/0!</v>
      </c>
      <c r="AG41" s="98" t="e">
        <f>ROUND(AF41*D41/100,2)</f>
        <v>#DIV/0!</v>
      </c>
    </row>
    <row r="42" spans="1:33" ht="20.25" customHeight="1" x14ac:dyDescent="0.25">
      <c r="A42" s="419"/>
      <c r="B42" s="878" t="s">
        <v>42</v>
      </c>
      <c r="C42" s="879"/>
      <c r="D42" s="415">
        <f>IF('BP VERSION JANVIER 2023'!J33&gt;'BP VERSION JANVIER 2023'!C33,'TABLE DES TAUX 2026 '!D73,'TABLE DES TAUX 2026 '!B73)</f>
        <v>4.1499999999999995E-2</v>
      </c>
      <c r="E42" s="94">
        <f>'BP FORMAT JUILLET 2023'!C53</f>
        <v>4005</v>
      </c>
      <c r="F42" s="95">
        <f t="shared" si="14"/>
        <v>166.21</v>
      </c>
      <c r="G42" s="174"/>
      <c r="H42" s="158"/>
      <c r="I42" s="158"/>
      <c r="J42" s="158"/>
      <c r="L42" s="171">
        <f>L4</f>
        <v>0</v>
      </c>
      <c r="M42" s="95">
        <f t="shared" si="15"/>
        <v>0</v>
      </c>
      <c r="N42" s="95" t="e">
        <f>L5</f>
        <v>#DIV/0!</v>
      </c>
      <c r="O42" s="95" t="e">
        <f t="shared" si="16"/>
        <v>#DIV/0!</v>
      </c>
      <c r="P42" s="95" t="e">
        <f>P40</f>
        <v>#DIV/0!</v>
      </c>
      <c r="Q42" s="95" t="e">
        <f t="shared" si="17"/>
        <v>#DIV/0!</v>
      </c>
      <c r="R42" s="95" t="e">
        <f>R40</f>
        <v>#DIV/0!</v>
      </c>
      <c r="S42" s="95" t="e">
        <f t="shared" si="18"/>
        <v>#DIV/0!</v>
      </c>
      <c r="T42" s="95" t="e">
        <f>T40</f>
        <v>#DIV/0!</v>
      </c>
      <c r="U42" s="95" t="e">
        <f t="shared" ref="U42:U47" si="19">ROUND(T42*D42/100,2)</f>
        <v>#DIV/0!</v>
      </c>
      <c r="V42" s="96" t="e">
        <f>V40</f>
        <v>#DIV/0!</v>
      </c>
      <c r="W42" s="97" t="e">
        <f>ROUND(V42*D42/100,2)</f>
        <v>#DIV/0!</v>
      </c>
      <c r="X42" s="96" t="e">
        <f>X40</f>
        <v>#DIV/0!</v>
      </c>
      <c r="Y42" s="98" t="e">
        <f>ROUND(X42*D42/100,2)</f>
        <v>#DIV/0!</v>
      </c>
      <c r="Z42" s="96" t="e">
        <f>Z40</f>
        <v>#DIV/0!</v>
      </c>
      <c r="AA42" s="98" t="e">
        <f>ROUND(Z42*D42/100,2)</f>
        <v>#DIV/0!</v>
      </c>
      <c r="AB42" s="96" t="e">
        <f>AB40</f>
        <v>#DIV/0!</v>
      </c>
      <c r="AC42" s="98" t="e">
        <f>ROUND(AB42*D42/100,2)</f>
        <v>#DIV/0!</v>
      </c>
      <c r="AD42" s="96" t="e">
        <f>AD40</f>
        <v>#DIV/0!</v>
      </c>
      <c r="AE42" s="98" t="e">
        <f>ROUND(AD42*D42/100,2)</f>
        <v>#DIV/0!</v>
      </c>
      <c r="AF42" s="96" t="e">
        <f>AF40</f>
        <v>#DIV/0!</v>
      </c>
      <c r="AG42" s="98" t="e">
        <f>ROUND(AF42*D42/100,2)</f>
        <v>#DIV/0!</v>
      </c>
    </row>
    <row r="43" spans="1:33" ht="20.25" customHeight="1" x14ac:dyDescent="0.25">
      <c r="A43" s="419"/>
      <c r="B43" s="878" t="s">
        <v>43</v>
      </c>
      <c r="C43" s="879"/>
      <c r="D43" s="415">
        <f>IF('BP FORMAT JUILLET 2023'!J33&gt;'BP FORMAT JUILLET 2023'!C33,'TABLE DES TAUX 2026 '!D79,'TABLE DES TAUX 2026 '!B73)</f>
        <v>9.8600000000000007E-2</v>
      </c>
      <c r="E43" s="94">
        <f>'BP FORMAT JUILLET 2023'!C54</f>
        <v>15797.14</v>
      </c>
      <c r="F43" s="95">
        <f t="shared" si="14"/>
        <v>1557.6</v>
      </c>
      <c r="G43" s="174"/>
      <c r="H43" s="158"/>
      <c r="I43" s="158"/>
      <c r="J43" s="158"/>
      <c r="L43" s="171">
        <f>P4</f>
        <v>0</v>
      </c>
      <c r="M43" s="95">
        <f>ROUND(L43*D43/100,2)</f>
        <v>0</v>
      </c>
      <c r="N43" s="95" t="e">
        <f>P5</f>
        <v>#DIV/0!</v>
      </c>
      <c r="O43" s="95" t="e">
        <f t="shared" si="16"/>
        <v>#DIV/0!</v>
      </c>
      <c r="P43" s="95" t="e">
        <f>P6</f>
        <v>#DIV/0!</v>
      </c>
      <c r="Q43" s="95" t="e">
        <f t="shared" si="17"/>
        <v>#DIV/0!</v>
      </c>
      <c r="R43" s="95" t="e">
        <f>P7</f>
        <v>#DIV/0!</v>
      </c>
      <c r="S43" s="95" t="e">
        <f t="shared" si="18"/>
        <v>#DIV/0!</v>
      </c>
      <c r="T43" s="95" t="e">
        <f>P8</f>
        <v>#DIV/0!</v>
      </c>
      <c r="U43" s="95" t="e">
        <f t="shared" si="19"/>
        <v>#DIV/0!</v>
      </c>
      <c r="V43" s="96" t="e">
        <f>P9</f>
        <v>#DIV/0!</v>
      </c>
      <c r="W43" s="98" t="e">
        <f>ROUND(V43*D43/100,2)</f>
        <v>#DIV/0!</v>
      </c>
      <c r="X43" s="96" t="e">
        <f>P10</f>
        <v>#DIV/0!</v>
      </c>
      <c r="Y43" s="98" t="e">
        <f>ROUND(X43*D43/100,2)</f>
        <v>#DIV/0!</v>
      </c>
      <c r="Z43" s="96" t="e">
        <f>P11</f>
        <v>#DIV/0!</v>
      </c>
      <c r="AA43" s="98" t="e">
        <f>ROUND(Z43*D43/100,2)</f>
        <v>#DIV/0!</v>
      </c>
      <c r="AB43" s="96" t="e">
        <f>P12</f>
        <v>#DIV/0!</v>
      </c>
      <c r="AC43" s="98" t="e">
        <f>ROUND(AB43*D43/100,2)</f>
        <v>#DIV/0!</v>
      </c>
      <c r="AD43" s="96" t="e">
        <f>P13</f>
        <v>#DIV/0!</v>
      </c>
      <c r="AE43" s="98" t="e">
        <f>ROUND(AD43*D43/100,2)</f>
        <v>#DIV/0!</v>
      </c>
      <c r="AF43" s="96" t="e">
        <f>P14</f>
        <v>#DIV/0!</v>
      </c>
      <c r="AG43" s="98" t="e">
        <f>ROUND(AF43*D43/100,2)</f>
        <v>#DIV/0!</v>
      </c>
    </row>
    <row r="44" spans="1:33" ht="21.75" hidden="1" customHeight="1" x14ac:dyDescent="0.25">
      <c r="A44" s="419"/>
      <c r="B44" s="878"/>
      <c r="C44" s="879"/>
      <c r="D44" s="93"/>
      <c r="E44" s="94"/>
      <c r="F44" s="95">
        <f t="shared" si="14"/>
        <v>0</v>
      </c>
      <c r="G44" s="174"/>
      <c r="H44" s="158"/>
      <c r="I44" s="158"/>
      <c r="J44" s="158"/>
      <c r="L44" s="171">
        <f>L42</f>
        <v>0</v>
      </c>
      <c r="M44" s="95">
        <f t="shared" si="15"/>
        <v>0</v>
      </c>
      <c r="N44" s="95" t="e">
        <f>N42</f>
        <v>#DIV/0!</v>
      </c>
      <c r="O44" s="95" t="e">
        <f t="shared" si="16"/>
        <v>#DIV/0!</v>
      </c>
      <c r="P44" s="95" t="e">
        <f>P42</f>
        <v>#DIV/0!</v>
      </c>
      <c r="Q44" s="95" t="e">
        <f t="shared" si="17"/>
        <v>#DIV/0!</v>
      </c>
      <c r="R44" s="95" t="e">
        <f>R42</f>
        <v>#DIV/0!</v>
      </c>
      <c r="S44" s="95" t="e">
        <f t="shared" si="18"/>
        <v>#DIV/0!</v>
      </c>
      <c r="T44" s="95" t="e">
        <f>T42</f>
        <v>#DIV/0!</v>
      </c>
      <c r="U44" s="95" t="e">
        <f t="shared" si="19"/>
        <v>#DIV/0!</v>
      </c>
      <c r="V44" s="96" t="e">
        <f>V42</f>
        <v>#DIV/0!</v>
      </c>
      <c r="W44" s="98" t="e">
        <f>ROUND(V44*D44/100,2)</f>
        <v>#DIV/0!</v>
      </c>
      <c r="X44" s="96" t="e">
        <f>+X42</f>
        <v>#DIV/0!</v>
      </c>
      <c r="Y44" s="98" t="e">
        <f>ROUND($D$44*X44/100,2)</f>
        <v>#DIV/0!</v>
      </c>
      <c r="Z44" s="96" t="e">
        <f>+Z42</f>
        <v>#DIV/0!</v>
      </c>
      <c r="AA44" s="98" t="e">
        <f>ROUND($D$44*Z44/100,2)</f>
        <v>#DIV/0!</v>
      </c>
      <c r="AB44" s="96" t="e">
        <f>+AB42</f>
        <v>#DIV/0!</v>
      </c>
      <c r="AC44" s="98" t="e">
        <f>ROUND($D$44*AB44/100,2)</f>
        <v>#DIV/0!</v>
      </c>
      <c r="AD44" s="96" t="e">
        <f>+AD42</f>
        <v>#DIV/0!</v>
      </c>
      <c r="AE44" s="98" t="e">
        <f>ROUND($D$44*AD44/100,2)</f>
        <v>#DIV/0!</v>
      </c>
      <c r="AF44" s="96" t="e">
        <f>+AF42</f>
        <v>#DIV/0!</v>
      </c>
      <c r="AG44" s="98" t="e">
        <f>ROUND($D$44*AF44/100,2)</f>
        <v>#DIV/0!</v>
      </c>
    </row>
    <row r="45" spans="1:33" ht="21.75" hidden="1" customHeight="1" x14ac:dyDescent="0.25">
      <c r="A45" s="419"/>
      <c r="B45" s="878"/>
      <c r="C45" s="879"/>
      <c r="D45" s="93"/>
      <c r="E45" s="94"/>
      <c r="F45" s="95">
        <f t="shared" si="14"/>
        <v>0</v>
      </c>
      <c r="G45" s="174"/>
      <c r="H45" s="158"/>
      <c r="I45" s="158"/>
      <c r="J45" s="158"/>
      <c r="L45" s="171">
        <f>L43</f>
        <v>0</v>
      </c>
      <c r="M45" s="95">
        <f t="shared" si="15"/>
        <v>0</v>
      </c>
      <c r="N45" s="95" t="e">
        <f>N43</f>
        <v>#DIV/0!</v>
      </c>
      <c r="O45" s="95" t="e">
        <f t="shared" si="16"/>
        <v>#DIV/0!</v>
      </c>
      <c r="P45" s="95" t="e">
        <f>P43</f>
        <v>#DIV/0!</v>
      </c>
      <c r="Q45" s="95" t="e">
        <f t="shared" si="17"/>
        <v>#DIV/0!</v>
      </c>
      <c r="R45" s="95" t="e">
        <f>R43</f>
        <v>#DIV/0!</v>
      </c>
      <c r="S45" s="95" t="e">
        <f t="shared" si="18"/>
        <v>#DIV/0!</v>
      </c>
      <c r="T45" s="95" t="e">
        <f>T43</f>
        <v>#DIV/0!</v>
      </c>
      <c r="U45" s="95" t="e">
        <f t="shared" si="19"/>
        <v>#DIV/0!</v>
      </c>
      <c r="V45" s="96" t="e">
        <f>V43</f>
        <v>#DIV/0!</v>
      </c>
      <c r="W45" s="98" t="e">
        <f>ROUND($D$45*V45/100,2)</f>
        <v>#DIV/0!</v>
      </c>
      <c r="X45" s="96" t="e">
        <f>X43</f>
        <v>#DIV/0!</v>
      </c>
      <c r="Y45" s="98" t="e">
        <f>ROUND($D$45*X45/100,2)</f>
        <v>#DIV/0!</v>
      </c>
      <c r="Z45" s="96" t="e">
        <f>Z43</f>
        <v>#DIV/0!</v>
      </c>
      <c r="AA45" s="98" t="e">
        <f>ROUND($D$45*Z45/100,2)</f>
        <v>#DIV/0!</v>
      </c>
      <c r="AB45" s="96" t="e">
        <f>AB43</f>
        <v>#DIV/0!</v>
      </c>
      <c r="AC45" s="98" t="e">
        <f>ROUND($D$45*AB45/100,2)</f>
        <v>#DIV/0!</v>
      </c>
      <c r="AD45" s="96" t="e">
        <f>AD43</f>
        <v>#DIV/0!</v>
      </c>
      <c r="AE45" s="98" t="e">
        <f>ROUND($D$45*AD45/100,2)</f>
        <v>#DIV/0!</v>
      </c>
      <c r="AF45" s="96" t="e">
        <f>AF43</f>
        <v>#DIV/0!</v>
      </c>
      <c r="AG45" s="98" t="e">
        <f>ROUND($D$45*AF45/100,2)</f>
        <v>#DIV/0!</v>
      </c>
    </row>
    <row r="46" spans="1:33" ht="21.75" hidden="1" customHeight="1" x14ac:dyDescent="0.25">
      <c r="A46" s="419"/>
      <c r="B46" s="878"/>
      <c r="C46" s="879"/>
      <c r="D46" s="93"/>
      <c r="E46" s="94"/>
      <c r="F46" s="95">
        <f t="shared" si="14"/>
        <v>0</v>
      </c>
      <c r="G46" s="174"/>
      <c r="H46" s="158"/>
      <c r="I46" s="158"/>
      <c r="J46" s="158"/>
      <c r="L46" s="171">
        <f>L25</f>
        <v>0</v>
      </c>
      <c r="M46" s="95">
        <f t="shared" si="15"/>
        <v>0</v>
      </c>
      <c r="N46" s="95" t="e">
        <f>L26</f>
        <v>#DIV/0!</v>
      </c>
      <c r="O46" s="95" t="e">
        <f t="shared" si="16"/>
        <v>#DIV/0!</v>
      </c>
      <c r="P46" s="95" t="e">
        <f>L27</f>
        <v>#DIV/0!</v>
      </c>
      <c r="Q46" s="95" t="e">
        <f t="shared" si="17"/>
        <v>#DIV/0!</v>
      </c>
      <c r="R46" s="95" t="e">
        <f>L28</f>
        <v>#DIV/0!</v>
      </c>
      <c r="S46" s="95" t="e">
        <f t="shared" si="18"/>
        <v>#DIV/0!</v>
      </c>
      <c r="T46" s="95" t="e">
        <f>L29</f>
        <v>#DIV/0!</v>
      </c>
      <c r="U46" s="95" t="e">
        <f t="shared" si="19"/>
        <v>#DIV/0!</v>
      </c>
      <c r="V46" s="96" t="e">
        <f>L30</f>
        <v>#DIV/0!</v>
      </c>
      <c r="W46" s="97" t="e">
        <f>ROUND(V46*$D$46/100,2)</f>
        <v>#DIV/0!</v>
      </c>
      <c r="X46" s="96" t="e">
        <f>L31</f>
        <v>#DIV/0!</v>
      </c>
      <c r="Y46" s="98" t="e">
        <f>ROUND(X46*$D$46/100,2)</f>
        <v>#DIV/0!</v>
      </c>
      <c r="Z46" s="96" t="e">
        <f>L32</f>
        <v>#DIV/0!</v>
      </c>
      <c r="AA46" s="98" t="e">
        <f>ROUND(Z46*$D$46/100,2)</f>
        <v>#DIV/0!</v>
      </c>
      <c r="AB46" s="96" t="e">
        <f>L33</f>
        <v>#DIV/0!</v>
      </c>
      <c r="AC46" s="98" t="e">
        <f>ROUND(AB46*$D$46/100,2)</f>
        <v>#DIV/0!</v>
      </c>
      <c r="AD46" s="96" t="e">
        <f>L34</f>
        <v>#DIV/0!</v>
      </c>
      <c r="AE46" s="98" t="e">
        <f>ROUND(AD46*$D$46/100,2)</f>
        <v>#DIV/0!</v>
      </c>
      <c r="AF46" s="96" t="e">
        <f>L35</f>
        <v>#DIV/0!</v>
      </c>
      <c r="AG46" s="98" t="e">
        <f>ROUND(AF46*$D$46/100,2)</f>
        <v>#DIV/0!</v>
      </c>
    </row>
    <row r="47" spans="1:33" ht="21.75" hidden="1" customHeight="1" x14ac:dyDescent="0.25">
      <c r="A47" s="419"/>
      <c r="B47" s="878"/>
      <c r="C47" s="879"/>
      <c r="D47" s="93"/>
      <c r="E47" s="94"/>
      <c r="F47" s="95">
        <f t="shared" si="14"/>
        <v>0</v>
      </c>
      <c r="G47" s="174"/>
      <c r="H47" s="158"/>
      <c r="I47" s="158"/>
      <c r="J47" s="158"/>
      <c r="L47" s="171">
        <f>N25</f>
        <v>0</v>
      </c>
      <c r="M47" s="95">
        <f t="shared" si="15"/>
        <v>0</v>
      </c>
      <c r="N47" s="95" t="e">
        <f>N26</f>
        <v>#DIV/0!</v>
      </c>
      <c r="O47" s="95" t="e">
        <f t="shared" si="16"/>
        <v>#DIV/0!</v>
      </c>
      <c r="P47" s="95" t="e">
        <f>N27</f>
        <v>#DIV/0!</v>
      </c>
      <c r="Q47" s="95" t="e">
        <f t="shared" si="17"/>
        <v>#DIV/0!</v>
      </c>
      <c r="R47" s="95" t="e">
        <f>N28</f>
        <v>#DIV/0!</v>
      </c>
      <c r="S47" s="95" t="e">
        <f>ROUND(D47*R47/100,2)</f>
        <v>#DIV/0!</v>
      </c>
      <c r="T47" s="95" t="e">
        <f>N29</f>
        <v>#DIV/0!</v>
      </c>
      <c r="U47" s="95" t="e">
        <f t="shared" si="19"/>
        <v>#DIV/0!</v>
      </c>
      <c r="V47" s="96" t="e">
        <f>N30</f>
        <v>#DIV/0!</v>
      </c>
      <c r="W47" s="98" t="e">
        <f>ROUND(V47*D47/100,2)</f>
        <v>#DIV/0!</v>
      </c>
      <c r="X47" s="96" t="e">
        <f>N31</f>
        <v>#DIV/0!</v>
      </c>
      <c r="Y47" s="98" t="e">
        <f>ROUND(X47*D47/100,2)</f>
        <v>#DIV/0!</v>
      </c>
      <c r="Z47" s="96" t="e">
        <f>N32</f>
        <v>#DIV/0!</v>
      </c>
      <c r="AA47" s="98" t="e">
        <f>ROUND(D47*Z47/100,2)</f>
        <v>#DIV/0!</v>
      </c>
      <c r="AB47" s="96" t="e">
        <f>N33</f>
        <v>#DIV/0!</v>
      </c>
      <c r="AC47" s="98" t="e">
        <f>ROUND(D47*AB47/100,2)</f>
        <v>#DIV/0!</v>
      </c>
      <c r="AD47" s="96" t="e">
        <f>N34</f>
        <v>#DIV/0!</v>
      </c>
      <c r="AE47" s="98" t="e">
        <f>ROUND(D47*AD47/100,2)</f>
        <v>#DIV/0!</v>
      </c>
      <c r="AF47" s="96" t="e">
        <f>N35</f>
        <v>#DIV/0!</v>
      </c>
      <c r="AG47" s="98" t="e">
        <f>ROUND(AF47*D47/100,2)</f>
        <v>#DIV/0!</v>
      </c>
    </row>
    <row r="48" spans="1:33" ht="21.75" hidden="1" customHeight="1" x14ac:dyDescent="0.25">
      <c r="A48" s="419"/>
      <c r="B48" s="878"/>
      <c r="C48" s="879"/>
      <c r="D48" s="367"/>
      <c r="E48" s="152"/>
      <c r="F48" s="95"/>
      <c r="G48" s="115"/>
      <c r="H48" s="158"/>
      <c r="I48" s="158"/>
      <c r="J48" s="158"/>
      <c r="L48" s="171">
        <v>0</v>
      </c>
      <c r="M48" s="95">
        <f t="shared" si="15"/>
        <v>0</v>
      </c>
      <c r="N48" s="95" t="e">
        <v>#DIV/0!</v>
      </c>
      <c r="O48" s="95" t="e">
        <f t="shared" si="16"/>
        <v>#DIV/0!</v>
      </c>
      <c r="P48" s="95" t="e">
        <v>#DIV/0!</v>
      </c>
      <c r="Q48" s="95" t="e">
        <f t="shared" si="17"/>
        <v>#DIV/0!</v>
      </c>
      <c r="R48" s="95" t="e">
        <v>#DIV/0!</v>
      </c>
      <c r="S48" s="95" t="e">
        <v>#DIV/0!</v>
      </c>
      <c r="T48" s="101" t="e">
        <v>#DIV/0!</v>
      </c>
      <c r="U48" s="95" t="e">
        <f>ROUND(T48*D48/100,2)</f>
        <v>#DIV/0!</v>
      </c>
      <c r="V48" s="96" t="e">
        <v>#DIV/0!</v>
      </c>
      <c r="W48" s="97" t="e">
        <f>ROUND(V48*$D$48/100,2)</f>
        <v>#DIV/0!</v>
      </c>
      <c r="X48" s="101" t="e">
        <v>#DIV/0!</v>
      </c>
      <c r="Y48" s="98" t="e">
        <f>ROUND(X48*$D$48/100,2)</f>
        <v>#DIV/0!</v>
      </c>
      <c r="Z48" s="101" t="e">
        <v>#DIV/0!</v>
      </c>
      <c r="AA48" s="98" t="e">
        <f>ROUND(Z48*$D$48/100,2)</f>
        <v>#DIV/0!</v>
      </c>
      <c r="AB48" s="101" t="e">
        <v>#DIV/0!</v>
      </c>
      <c r="AC48" s="98" t="e">
        <f>ROUND(AB48*$D$48/100,2)</f>
        <v>#DIV/0!</v>
      </c>
      <c r="AD48" s="101" t="e">
        <v>#DIV/0!</v>
      </c>
      <c r="AE48" s="98" t="e">
        <f>ROUND(AD48*$D$48/100,2)</f>
        <v>#DIV/0!</v>
      </c>
      <c r="AF48" s="101" t="e">
        <v>#DIV/0!</v>
      </c>
      <c r="AG48" s="98" t="e">
        <f>ROUND(AF48*$D$48/100,2)</f>
        <v>#DIV/0!</v>
      </c>
    </row>
    <row r="49" spans="1:33" s="20" customFormat="1" ht="20.25" customHeight="1" x14ac:dyDescent="0.2">
      <c r="A49" s="419"/>
      <c r="B49" s="880" t="s">
        <v>86</v>
      </c>
      <c r="C49" s="880"/>
      <c r="D49" s="421"/>
      <c r="F49" s="139">
        <f>SUM(F40:F48)</f>
        <v>2079.37</v>
      </c>
      <c r="H49" s="159"/>
      <c r="I49" s="159"/>
      <c r="J49" s="159"/>
      <c r="L49" s="172"/>
      <c r="M49" s="103">
        <f>SUM(M40:M48)</f>
        <v>0</v>
      </c>
      <c r="N49" s="103"/>
      <c r="O49" s="103" t="e">
        <f>SUM(O40:O48)</f>
        <v>#DIV/0!</v>
      </c>
      <c r="P49" s="103"/>
      <c r="Q49" s="103" t="e">
        <f>SUM(Q40:Q48)</f>
        <v>#DIV/0!</v>
      </c>
      <c r="R49" s="103"/>
      <c r="S49" s="103" t="e">
        <f>SUM(S40:S48)</f>
        <v>#DIV/0!</v>
      </c>
      <c r="T49" s="103"/>
      <c r="U49" s="103" t="e">
        <f>SUM(U40:U48)</f>
        <v>#DIV/0!</v>
      </c>
      <c r="V49" s="103"/>
      <c r="W49" s="103" t="e">
        <f>SUM(W40:W48)</f>
        <v>#DIV/0!</v>
      </c>
      <c r="X49" s="103"/>
      <c r="Y49" s="103" t="e">
        <f t="shared" ref="Y49:AG49" si="20">SUM(Y40:Y48)</f>
        <v>#DIV/0!</v>
      </c>
      <c r="Z49" s="103"/>
      <c r="AA49" s="103" t="e">
        <f t="shared" si="20"/>
        <v>#DIV/0!</v>
      </c>
      <c r="AB49" s="103"/>
      <c r="AC49" s="103" t="e">
        <f t="shared" si="20"/>
        <v>#DIV/0!</v>
      </c>
      <c r="AD49" s="103"/>
      <c r="AE49" s="103" t="e">
        <f t="shared" si="20"/>
        <v>#DIV/0!</v>
      </c>
      <c r="AF49" s="103"/>
      <c r="AG49" s="103" t="e">
        <f t="shared" si="20"/>
        <v>#DIV/0!</v>
      </c>
    </row>
    <row r="50" spans="1:33" ht="20.25" customHeight="1" x14ac:dyDescent="0.25">
      <c r="A50" s="419"/>
      <c r="B50" s="834" t="s">
        <v>190</v>
      </c>
      <c r="C50" s="834"/>
      <c r="D50" s="422"/>
      <c r="E50" s="423"/>
      <c r="F50" s="599">
        <f xml:space="preserve"> ROUND(IF(F49/E41&gt;0.1131,0.1131,F49/E41),4)</f>
        <v>0.105</v>
      </c>
      <c r="G50" s="104"/>
      <c r="H50" s="104"/>
      <c r="I50" s="104"/>
      <c r="J50" s="104"/>
      <c r="L50" s="105"/>
      <c r="M50" s="105"/>
      <c r="N50" s="105"/>
      <c r="P50" s="104"/>
      <c r="R50" s="104"/>
    </row>
    <row r="51" spans="1:33" ht="20.25" customHeight="1" x14ac:dyDescent="0.25">
      <c r="B51" s="52"/>
      <c r="C51" s="52"/>
      <c r="E51" s="104"/>
      <c r="F51" s="104"/>
      <c r="G51" s="104"/>
      <c r="H51" s="104"/>
      <c r="I51" s="104"/>
      <c r="J51" s="104"/>
      <c r="L51" s="105"/>
      <c r="M51" s="105"/>
      <c r="N51" s="105"/>
      <c r="P51" s="104"/>
      <c r="R51" s="104"/>
    </row>
    <row r="52" spans="1:33" ht="20.25" customHeight="1" x14ac:dyDescent="0.25">
      <c r="B52" s="52"/>
      <c r="C52" s="52"/>
      <c r="E52" s="104"/>
      <c r="F52" s="104"/>
      <c r="G52" s="104"/>
      <c r="H52" s="104"/>
      <c r="I52" s="104"/>
      <c r="J52" s="104"/>
      <c r="L52" s="105"/>
      <c r="M52" s="105"/>
      <c r="N52" s="105"/>
      <c r="P52" s="104"/>
      <c r="R52" s="104"/>
    </row>
    <row r="53" spans="1:33" ht="20.25" customHeight="1" x14ac:dyDescent="0.25">
      <c r="B53" s="106"/>
      <c r="C53" s="106"/>
      <c r="D53" s="106"/>
      <c r="E53" s="106"/>
      <c r="F53" s="106"/>
      <c r="G53" s="106"/>
      <c r="H53" s="106"/>
      <c r="I53" s="106"/>
      <c r="J53" s="106"/>
      <c r="K53" s="106"/>
    </row>
    <row r="54" spans="1:33" ht="27.75" customHeight="1" x14ac:dyDescent="0.25">
      <c r="A54" s="600" t="s">
        <v>143</v>
      </c>
      <c r="B54" s="1021" t="s">
        <v>144</v>
      </c>
      <c r="C54" s="1021"/>
      <c r="D54" s="1021"/>
      <c r="E54" s="1021"/>
      <c r="F54" s="1021"/>
      <c r="G54" s="1021"/>
      <c r="H54" s="1021"/>
      <c r="O54" s="107"/>
      <c r="P54" s="107"/>
      <c r="Q54" s="107"/>
      <c r="R54" s="107"/>
      <c r="S54" s="107"/>
      <c r="T54" s="107"/>
    </row>
    <row r="55" spans="1:33" ht="20.25" customHeight="1" x14ac:dyDescent="0.25">
      <c r="A55" s="52"/>
      <c r="B55" s="52"/>
      <c r="C55" s="52"/>
      <c r="E55" s="52"/>
      <c r="F55" s="52"/>
      <c r="G55" s="52"/>
      <c r="H55" s="106"/>
      <c r="K55" s="108"/>
    </row>
    <row r="56" spans="1:33" s="109" customFormat="1" ht="48.75" customHeight="1" x14ac:dyDescent="0.2">
      <c r="A56" s="65" t="s">
        <v>284</v>
      </c>
      <c r="B56" s="65" t="s">
        <v>145</v>
      </c>
      <c r="C56" s="65" t="s">
        <v>787</v>
      </c>
      <c r="D56" s="65" t="s">
        <v>94</v>
      </c>
      <c r="E56" s="65" t="s">
        <v>786</v>
      </c>
      <c r="F56" s="65" t="s">
        <v>146</v>
      </c>
      <c r="G56" s="65" t="s">
        <v>376</v>
      </c>
      <c r="H56" s="111"/>
      <c r="I56" s="111"/>
      <c r="J56" s="111"/>
      <c r="N56" s="111"/>
      <c r="O56" s="111"/>
      <c r="P56" s="111"/>
      <c r="Q56" s="111"/>
      <c r="R56" s="111"/>
      <c r="S56" s="111"/>
      <c r="T56" s="111"/>
    </row>
    <row r="57" spans="1:33" s="109" customFormat="1" ht="33" customHeight="1" x14ac:dyDescent="0.2">
      <c r="A57" s="369"/>
      <c r="B57" s="371">
        <f>'BP FORMAT JUILLET 2023'!J21+'BP FORMAT JUILLET 2023'!J22+'BP FORMAT JUILLET 2023'!J20+'BP FORMAT JUILLET 2023'!J18+'BP FORMAT JUILLET 2023'!J19</f>
        <v>2802.14</v>
      </c>
      <c r="C57" s="141">
        <f>A57+B57</f>
        <v>2802.14</v>
      </c>
      <c r="D57" s="142">
        <f>ROUND(IF(F49/E41&gt;0.1131,0.1131,F49/E41),4)</f>
        <v>0.105</v>
      </c>
      <c r="E57" s="370">
        <f>IF(A57&gt;8037,0,IF(C57&gt;8037,8037-A57,B57))</f>
        <v>2802.14</v>
      </c>
      <c r="F57" s="370">
        <f>ROUND(E57*D57,2)</f>
        <v>294.22000000000003</v>
      </c>
      <c r="G57" s="370">
        <f>IF(C57&gt;8037,B57-E57,0)</f>
        <v>0</v>
      </c>
      <c r="H57" s="111"/>
      <c r="I57" s="154"/>
      <c r="J57" s="154"/>
      <c r="N57" s="111"/>
      <c r="O57" s="111"/>
      <c r="P57" s="111"/>
      <c r="Q57" s="111"/>
      <c r="R57" s="111"/>
      <c r="S57" s="111"/>
      <c r="T57" s="111"/>
    </row>
    <row r="58" spans="1:33" ht="22.5" hidden="1" customHeight="1" x14ac:dyDescent="0.25">
      <c r="A58" s="140"/>
      <c r="B58" s="141"/>
      <c r="C58" s="141"/>
      <c r="D58" s="140"/>
      <c r="E58" s="156"/>
      <c r="F58" s="141"/>
      <c r="G58" s="155"/>
      <c r="H58" s="155"/>
      <c r="I58" s="155"/>
      <c r="J58" s="155"/>
      <c r="L58" s="115"/>
      <c r="M58" s="116"/>
      <c r="N58" s="117"/>
      <c r="O58" s="111"/>
      <c r="P58" s="111"/>
      <c r="Q58" s="111"/>
      <c r="R58" s="115"/>
      <c r="S58" s="115"/>
      <c r="T58" s="115"/>
    </row>
    <row r="59" spans="1:33" ht="22.5" hidden="1" customHeight="1" x14ac:dyDescent="0.25">
      <c r="A59" s="110" t="s">
        <v>147</v>
      </c>
      <c r="B59" s="100">
        <v>0</v>
      </c>
      <c r="C59" s="110">
        <f>B59+B57</f>
        <v>2802.14</v>
      </c>
      <c r="D59" s="112" t="e">
        <f>IF(M49/B25&gt;0.1131,0.1131,M49/B25)</f>
        <v>#DIV/0!</v>
      </c>
      <c r="E59" s="113" t="e">
        <f>IF(C59&lt;5358,B59*D59,IF(C57&gt;5358,0,(5358-C57)*D59))</f>
        <v>#DIV/0!</v>
      </c>
      <c r="F59" s="113"/>
      <c r="G59" s="153"/>
      <c r="H59" s="153"/>
      <c r="I59" s="153"/>
      <c r="J59" s="153"/>
      <c r="K59" s="114">
        <f>IF(C59&lt;5358,B59,IF(C57&gt;5358,0,5358-C57))</f>
        <v>0</v>
      </c>
      <c r="L59" s="115"/>
      <c r="M59" s="116"/>
      <c r="N59" s="117"/>
      <c r="O59" s="111"/>
      <c r="P59" s="111"/>
      <c r="Q59" s="111"/>
      <c r="R59" s="115"/>
      <c r="S59" s="115"/>
      <c r="T59" s="115"/>
    </row>
    <row r="60" spans="1:33" ht="22.5" hidden="1" customHeight="1" x14ac:dyDescent="0.25">
      <c r="A60" s="110" t="s">
        <v>148</v>
      </c>
      <c r="B60" s="100" t="e">
        <f>+L91</f>
        <v>#DIV/0!</v>
      </c>
      <c r="C60" s="100" t="e">
        <f>C59+B60</f>
        <v>#DIV/0!</v>
      </c>
      <c r="D60" s="112" t="e">
        <f>IF(O49/B26&lt;0.1131,O49/B26,0.1131)</f>
        <v>#DIV/0!</v>
      </c>
      <c r="E60" s="113" t="e">
        <f>IF(C60&lt;5358,B60*D60,IF(C59&gt;5358,0,(5358-C59)*D60))</f>
        <v>#DIV/0!</v>
      </c>
      <c r="F60" s="113"/>
      <c r="G60" s="113"/>
      <c r="H60" s="113"/>
      <c r="I60" s="113"/>
      <c r="J60" s="113"/>
      <c r="K60" s="114" t="e">
        <f t="shared" ref="K60:K69" si="21">IF(C60&lt;5358,B60,IF(C59&gt;5358,0,5358-C59))</f>
        <v>#DIV/0!</v>
      </c>
      <c r="L60" s="115"/>
      <c r="M60" s="116"/>
      <c r="N60" s="117"/>
      <c r="O60" s="118"/>
      <c r="P60" s="118"/>
      <c r="Q60" s="118"/>
      <c r="R60" s="118"/>
      <c r="S60" s="118"/>
      <c r="T60" s="118"/>
    </row>
    <row r="61" spans="1:33" ht="22.5" hidden="1" customHeight="1" x14ac:dyDescent="0.25">
      <c r="A61" s="110" t="s">
        <v>149</v>
      </c>
      <c r="B61" s="100" t="e">
        <f>+M91</f>
        <v>#DIV/0!</v>
      </c>
      <c r="C61" s="100" t="e">
        <f>C60+B61</f>
        <v>#DIV/0!</v>
      </c>
      <c r="D61" s="112" t="e">
        <f>IF(Q49/B27&lt;0.1131,Q49/B27,0.1131)</f>
        <v>#DIV/0!</v>
      </c>
      <c r="E61" s="113" t="e">
        <f>IF(C61&lt;5358,B61*D61,IF(C60&gt;5358,0,(5358-C60)*D61))</f>
        <v>#DIV/0!</v>
      </c>
      <c r="F61" s="113"/>
      <c r="G61" s="113"/>
      <c r="H61" s="113"/>
      <c r="I61" s="113"/>
      <c r="J61" s="113"/>
      <c r="K61" s="114" t="e">
        <f t="shared" si="21"/>
        <v>#DIV/0!</v>
      </c>
      <c r="L61" s="115"/>
      <c r="M61" s="116"/>
      <c r="N61" s="117"/>
      <c r="O61" s="118"/>
      <c r="P61" s="118"/>
      <c r="Q61" s="118"/>
      <c r="R61" s="118"/>
      <c r="S61" s="118"/>
      <c r="T61" s="118"/>
      <c r="U61" s="2"/>
    </row>
    <row r="62" spans="1:33" ht="22.5" hidden="1" customHeight="1" x14ac:dyDescent="0.25">
      <c r="A62" s="110" t="s">
        <v>150</v>
      </c>
      <c r="B62" s="100" t="e">
        <f>+N91</f>
        <v>#DIV/0!</v>
      </c>
      <c r="C62" s="100" t="e">
        <f>C61+B62</f>
        <v>#DIV/0!</v>
      </c>
      <c r="D62" s="112" t="e">
        <f>IF(S49/B28&lt;0.1131,S49/B28,0.1131)</f>
        <v>#DIV/0!</v>
      </c>
      <c r="E62" s="113" t="e">
        <f>IF(C62&lt;5358,B62*D62,IF(C61&gt;5358,0,(5358-C61)*D62))</f>
        <v>#DIV/0!</v>
      </c>
      <c r="F62" s="113"/>
      <c r="G62" s="113"/>
      <c r="H62" s="113"/>
      <c r="I62" s="113"/>
      <c r="J62" s="113"/>
      <c r="K62" s="114" t="e">
        <f t="shared" si="21"/>
        <v>#DIV/0!</v>
      </c>
      <c r="L62" s="115"/>
      <c r="M62" s="116"/>
      <c r="N62" s="117"/>
      <c r="O62" s="118"/>
      <c r="P62" s="118"/>
      <c r="Q62" s="118"/>
      <c r="R62" s="118"/>
      <c r="S62" s="118"/>
      <c r="T62" s="118"/>
      <c r="U62" s="2"/>
    </row>
    <row r="63" spans="1:33" ht="22.5" hidden="1" customHeight="1" x14ac:dyDescent="0.25">
      <c r="A63" s="110" t="s">
        <v>139</v>
      </c>
      <c r="B63" s="100" t="e">
        <f>+O91</f>
        <v>#DIV/0!</v>
      </c>
      <c r="C63" s="100" t="e">
        <f>C62+B63</f>
        <v>#DIV/0!</v>
      </c>
      <c r="D63" s="112" t="e">
        <f>IF(U49/B29&lt;0.1131,U49/B29,0.1131)</f>
        <v>#DIV/0!</v>
      </c>
      <c r="E63" s="113" t="e">
        <f>IF(C63&lt;5358,B63*D63,IF(C62&gt;5358,0,(5358-C62)*D63))</f>
        <v>#DIV/0!</v>
      </c>
      <c r="F63" s="113"/>
      <c r="G63" s="113"/>
      <c r="H63" s="113"/>
      <c r="I63" s="113"/>
      <c r="J63" s="113"/>
      <c r="K63" s="114" t="e">
        <f t="shared" si="21"/>
        <v>#DIV/0!</v>
      </c>
      <c r="L63" s="115"/>
      <c r="M63" s="116"/>
      <c r="N63" s="117"/>
      <c r="O63" s="118"/>
      <c r="P63" s="118"/>
      <c r="Q63" s="118"/>
      <c r="R63" s="118"/>
      <c r="S63" s="118"/>
      <c r="T63" s="118"/>
      <c r="U63" s="2"/>
    </row>
    <row r="64" spans="1:33" ht="22.5" hidden="1" customHeight="1" x14ac:dyDescent="0.25">
      <c r="A64" s="110" t="s">
        <v>151</v>
      </c>
      <c r="B64" s="119" t="e">
        <v>#DIV/0!</v>
      </c>
      <c r="C64" s="119" t="e">
        <f t="shared" ref="C64:C69" si="22">+B64+C63</f>
        <v>#DIV/0!</v>
      </c>
      <c r="D64" s="120" t="e">
        <f>+IF(W49/B30&gt;0.1131,0.1131,W49/B30)</f>
        <v>#DIV/0!</v>
      </c>
      <c r="E64" s="113" t="e">
        <f t="shared" ref="E64:E69" si="23">IF(C64&lt;5358,B64*D64,IF(C63&gt;5358,0,(5358-C63)*D64))</f>
        <v>#DIV/0!</v>
      </c>
      <c r="F64" s="113"/>
      <c r="G64" s="113"/>
      <c r="H64" s="113"/>
      <c r="I64" s="113"/>
      <c r="J64" s="113"/>
      <c r="K64" s="114" t="e">
        <f t="shared" si="21"/>
        <v>#DIV/0!</v>
      </c>
      <c r="L64" s="115"/>
      <c r="M64" s="116"/>
      <c r="N64" s="117"/>
      <c r="O64" s="118"/>
      <c r="P64" s="118"/>
      <c r="Q64" s="118"/>
      <c r="R64" s="118"/>
      <c r="S64" s="118"/>
      <c r="T64" s="118"/>
    </row>
    <row r="65" spans="1:20" ht="22.5" hidden="1" customHeight="1" x14ac:dyDescent="0.25">
      <c r="A65" s="110" t="s">
        <v>152</v>
      </c>
      <c r="B65" s="119" t="e">
        <f>Q91</f>
        <v>#DIV/0!</v>
      </c>
      <c r="C65" s="119" t="e">
        <f t="shared" si="22"/>
        <v>#DIV/0!</v>
      </c>
      <c r="D65" s="120" t="e">
        <f>+IF(Y49/B31&gt;0.1131,0.1131,Y49/B31)</f>
        <v>#DIV/0!</v>
      </c>
      <c r="E65" s="113" t="e">
        <f t="shared" si="23"/>
        <v>#DIV/0!</v>
      </c>
      <c r="F65" s="113"/>
      <c r="G65" s="113"/>
      <c r="H65" s="113"/>
      <c r="I65" s="113"/>
      <c r="J65" s="113"/>
      <c r="K65" s="114" t="e">
        <f t="shared" si="21"/>
        <v>#DIV/0!</v>
      </c>
      <c r="L65" s="115"/>
      <c r="M65" s="116"/>
      <c r="N65" s="117"/>
      <c r="O65" s="118"/>
      <c r="P65" s="118"/>
      <c r="Q65" s="118"/>
      <c r="R65" s="118"/>
      <c r="S65" s="118"/>
      <c r="T65" s="118"/>
    </row>
    <row r="66" spans="1:20" ht="22.5" hidden="1" customHeight="1" x14ac:dyDescent="0.25">
      <c r="A66" s="110" t="s">
        <v>153</v>
      </c>
      <c r="B66" s="119" t="e">
        <f>R91</f>
        <v>#DIV/0!</v>
      </c>
      <c r="C66" s="119" t="e">
        <f t="shared" si="22"/>
        <v>#DIV/0!</v>
      </c>
      <c r="D66" s="120" t="e">
        <f>+IF(AA49/B32&gt;0.1131,0.1131,AA49/E11)</f>
        <v>#DIV/0!</v>
      </c>
      <c r="E66" s="113" t="e">
        <f t="shared" si="23"/>
        <v>#DIV/0!</v>
      </c>
      <c r="F66" s="113"/>
      <c r="G66" s="113"/>
      <c r="H66" s="113"/>
      <c r="I66" s="113"/>
      <c r="J66" s="113"/>
      <c r="K66" s="114" t="e">
        <f t="shared" si="21"/>
        <v>#DIV/0!</v>
      </c>
      <c r="L66" s="115"/>
      <c r="M66" s="116"/>
      <c r="N66" s="117"/>
      <c r="O66" s="118"/>
      <c r="P66" s="118"/>
      <c r="Q66" s="118"/>
      <c r="R66" s="118"/>
      <c r="S66" s="118"/>
      <c r="T66" s="118"/>
    </row>
    <row r="67" spans="1:20" ht="22.5" hidden="1" customHeight="1" x14ac:dyDescent="0.25">
      <c r="A67" s="110" t="s">
        <v>154</v>
      </c>
      <c r="B67" s="119" t="e">
        <f>S91</f>
        <v>#DIV/0!</v>
      </c>
      <c r="C67" s="119" t="e">
        <f t="shared" si="22"/>
        <v>#DIV/0!</v>
      </c>
      <c r="D67" s="120" t="e">
        <f>+IF(AC49/B33&gt;0.1131,0.1131,AC49/EG2)</f>
        <v>#DIV/0!</v>
      </c>
      <c r="E67" s="113" t="e">
        <f t="shared" si="23"/>
        <v>#DIV/0!</v>
      </c>
      <c r="F67" s="113"/>
      <c r="G67" s="113"/>
      <c r="H67" s="113"/>
      <c r="I67" s="113"/>
      <c r="J67" s="113"/>
      <c r="K67" s="114" t="e">
        <f t="shared" si="21"/>
        <v>#DIV/0!</v>
      </c>
      <c r="L67" s="115"/>
      <c r="M67" s="116"/>
      <c r="N67" s="117"/>
      <c r="O67" s="118"/>
      <c r="P67" s="118"/>
      <c r="Q67" s="118"/>
      <c r="R67" s="118"/>
      <c r="S67" s="118"/>
      <c r="T67" s="118"/>
    </row>
    <row r="68" spans="1:20" ht="22.5" hidden="1" customHeight="1" x14ac:dyDescent="0.25">
      <c r="A68" s="110" t="s">
        <v>155</v>
      </c>
      <c r="B68" s="119" t="e">
        <f>T91</f>
        <v>#DIV/0!</v>
      </c>
      <c r="C68" s="119" t="e">
        <f t="shared" si="22"/>
        <v>#DIV/0!</v>
      </c>
      <c r="D68" s="120" t="e">
        <f>+IF(AE49/B34&gt;0.1131,0.1131,AE49/B34)</f>
        <v>#DIV/0!</v>
      </c>
      <c r="E68" s="113" t="e">
        <f t="shared" si="23"/>
        <v>#DIV/0!</v>
      </c>
      <c r="F68" s="113"/>
      <c r="G68" s="113"/>
      <c r="H68" s="113"/>
      <c r="I68" s="113"/>
      <c r="J68" s="113"/>
      <c r="K68" s="114" t="e">
        <f t="shared" si="21"/>
        <v>#DIV/0!</v>
      </c>
      <c r="L68" s="115"/>
      <c r="M68" s="116"/>
      <c r="N68" s="117"/>
      <c r="O68" s="118"/>
      <c r="P68" s="118"/>
      <c r="Q68" s="118"/>
      <c r="R68" s="118"/>
      <c r="S68" s="118"/>
      <c r="T68" s="118"/>
    </row>
    <row r="69" spans="1:20" ht="22.5" hidden="1" customHeight="1" x14ac:dyDescent="0.25">
      <c r="A69" s="110" t="s">
        <v>156</v>
      </c>
      <c r="B69" s="119" t="e">
        <f>U91</f>
        <v>#DIV/0!</v>
      </c>
      <c r="C69" s="119" t="e">
        <f t="shared" si="22"/>
        <v>#DIV/0!</v>
      </c>
      <c r="D69" s="120" t="e">
        <f>+IF(AG49/B35&gt;0.1131,0.1131,AG49/B35)</f>
        <v>#DIV/0!</v>
      </c>
      <c r="E69" s="113" t="e">
        <f t="shared" si="23"/>
        <v>#DIV/0!</v>
      </c>
      <c r="F69" s="113"/>
      <c r="G69" s="113"/>
      <c r="H69" s="113"/>
      <c r="I69" s="113"/>
      <c r="J69" s="113"/>
      <c r="K69" s="114" t="e">
        <f t="shared" si="21"/>
        <v>#DIV/0!</v>
      </c>
      <c r="L69" s="115"/>
      <c r="M69" s="116"/>
      <c r="N69" s="117"/>
      <c r="O69" s="118"/>
      <c r="P69" s="118"/>
      <c r="Q69" s="118"/>
      <c r="R69" s="118"/>
      <c r="S69" s="118"/>
      <c r="T69" s="118"/>
    </row>
    <row r="70" spans="1:20" ht="22.5" hidden="1" customHeight="1" x14ac:dyDescent="0.25">
      <c r="A70" s="45"/>
      <c r="B70" s="2"/>
      <c r="C70" s="2"/>
      <c r="D70" s="121" t="e">
        <f>+IF(#REF!/E15&gt;0.1131,0.1131,#REF!/E15)</f>
        <v>#REF!</v>
      </c>
      <c r="M70" s="122" t="e">
        <f t="shared" ref="M70:M80" si="24">+K70-K69</f>
        <v>#DIV/0!</v>
      </c>
      <c r="Q70" s="123"/>
      <c r="R70" s="124">
        <f t="shared" ref="R70:R80" si="25">IF(C70&lt;5358,C70*0.9825,5358*0.9825)</f>
        <v>0</v>
      </c>
    </row>
    <row r="71" spans="1:20" ht="22.5" hidden="1" customHeight="1" x14ac:dyDescent="0.25">
      <c r="A71" s="45"/>
      <c r="B71" s="2"/>
      <c r="C71" s="2"/>
      <c r="D71" s="57" t="e">
        <f>+IF(AE53/E16&gt;0.1131,0.1131,AE53/E16)</f>
        <v>#DIV/0!</v>
      </c>
      <c r="M71" s="125">
        <f t="shared" si="24"/>
        <v>0</v>
      </c>
      <c r="Q71" s="126"/>
      <c r="R71" s="124">
        <f t="shared" si="25"/>
        <v>0</v>
      </c>
    </row>
    <row r="72" spans="1:20" ht="22.5" hidden="1" customHeight="1" x14ac:dyDescent="0.25">
      <c r="A72" s="106"/>
      <c r="B72" s="2"/>
      <c r="C72" s="2"/>
      <c r="D72" s="57" t="e">
        <f>+IF(AE54/E17&gt;0.1131,0.1131,AE54/E17)</f>
        <v>#DIV/0!</v>
      </c>
      <c r="M72" s="125">
        <f t="shared" si="24"/>
        <v>0</v>
      </c>
      <c r="Q72" s="127"/>
      <c r="R72" s="124">
        <f t="shared" si="25"/>
        <v>0</v>
      </c>
    </row>
    <row r="73" spans="1:20" ht="22.5" hidden="1" customHeight="1" x14ac:dyDescent="0.25">
      <c r="A73" s="106"/>
      <c r="B73" s="2"/>
      <c r="C73" s="2"/>
      <c r="D73" s="57" t="e">
        <f>+IF(AE55/E18&gt;0.1131,0.1131,AE55/E18)</f>
        <v>#DIV/0!</v>
      </c>
      <c r="M73" s="125">
        <f t="shared" si="24"/>
        <v>0</v>
      </c>
      <c r="Q73" s="127"/>
      <c r="R73" s="124">
        <f t="shared" si="25"/>
        <v>0</v>
      </c>
    </row>
    <row r="74" spans="1:20" ht="22.5" hidden="1" customHeight="1" x14ac:dyDescent="0.25">
      <c r="A74" s="106"/>
      <c r="B74" s="2"/>
      <c r="C74" s="2"/>
      <c r="D74" s="57" t="e">
        <f>+IF(AE56/E19&gt;0.1131,0.1131,AE56/E19)</f>
        <v>#DIV/0!</v>
      </c>
      <c r="M74" s="125">
        <f t="shared" si="24"/>
        <v>0</v>
      </c>
      <c r="Q74" s="127"/>
      <c r="R74" s="124">
        <f t="shared" si="25"/>
        <v>0</v>
      </c>
    </row>
    <row r="75" spans="1:20" ht="22.5" hidden="1" customHeight="1" x14ac:dyDescent="0.25">
      <c r="A75" s="106"/>
      <c r="B75" s="2"/>
      <c r="C75" s="2"/>
      <c r="D75" s="57" t="e">
        <f t="shared" ref="D75:D80" si="26">+IF(AE58/E21&gt;0.1131,0.1131,AE58/E21)</f>
        <v>#DIV/0!</v>
      </c>
      <c r="M75" s="125">
        <f t="shared" si="24"/>
        <v>0</v>
      </c>
      <c r="Q75" s="127"/>
      <c r="R75" s="124">
        <f t="shared" si="25"/>
        <v>0</v>
      </c>
    </row>
    <row r="76" spans="1:20" ht="22.5" hidden="1" customHeight="1" x14ac:dyDescent="0.25">
      <c r="A76" s="106"/>
      <c r="B76" s="2"/>
      <c r="C76" s="2"/>
      <c r="D76" s="57" t="e">
        <f t="shared" si="26"/>
        <v>#VALUE!</v>
      </c>
      <c r="M76" s="125">
        <f t="shared" si="24"/>
        <v>0</v>
      </c>
      <c r="Q76" s="127"/>
      <c r="R76" s="124">
        <f t="shared" si="25"/>
        <v>0</v>
      </c>
    </row>
    <row r="77" spans="1:20" ht="22.5" hidden="1" customHeight="1" x14ac:dyDescent="0.25">
      <c r="A77" s="106"/>
      <c r="B77" s="2"/>
      <c r="C77" s="2"/>
      <c r="D77" s="57" t="e">
        <f t="shared" si="26"/>
        <v>#VALUE!</v>
      </c>
      <c r="M77" s="125">
        <f t="shared" si="24"/>
        <v>0</v>
      </c>
      <c r="Q77" s="127"/>
      <c r="R77" s="124">
        <f t="shared" si="25"/>
        <v>0</v>
      </c>
    </row>
    <row r="78" spans="1:20" ht="22.5" hidden="1" customHeight="1" x14ac:dyDescent="0.25">
      <c r="A78" s="106"/>
      <c r="B78" s="2"/>
      <c r="C78" s="2"/>
      <c r="D78" s="57">
        <f t="shared" si="26"/>
        <v>0</v>
      </c>
      <c r="M78" s="125">
        <f t="shared" si="24"/>
        <v>0</v>
      </c>
      <c r="Q78" s="127"/>
      <c r="R78" s="124">
        <f t="shared" si="25"/>
        <v>0</v>
      </c>
    </row>
    <row r="79" spans="1:20" ht="22.5" hidden="1" customHeight="1" x14ac:dyDescent="0.25">
      <c r="A79" s="106"/>
      <c r="B79" s="2"/>
      <c r="C79" s="2"/>
      <c r="D79" s="57">
        <f t="shared" si="26"/>
        <v>0</v>
      </c>
      <c r="M79" s="125">
        <f t="shared" si="24"/>
        <v>0</v>
      </c>
      <c r="Q79" s="127"/>
      <c r="R79" s="124">
        <f t="shared" si="25"/>
        <v>0</v>
      </c>
    </row>
    <row r="80" spans="1:20" ht="22.5" hidden="1" customHeight="1" x14ac:dyDescent="0.25">
      <c r="A80" s="106"/>
      <c r="D80" s="57" t="e">
        <f t="shared" si="26"/>
        <v>#DIV/0!</v>
      </c>
      <c r="M80" s="125">
        <f t="shared" si="24"/>
        <v>0</v>
      </c>
      <c r="R80" s="124">
        <f t="shared" si="25"/>
        <v>0</v>
      </c>
    </row>
    <row r="81" spans="1:21" ht="20.25" customHeight="1" x14ac:dyDescent="0.25">
      <c r="A81" s="106"/>
      <c r="M81" s="128"/>
      <c r="R81" s="129"/>
    </row>
    <row r="82" spans="1:21" ht="20.25" customHeight="1" x14ac:dyDescent="0.25">
      <c r="A82" s="106"/>
      <c r="E82" s="154"/>
      <c r="G82" s="154"/>
      <c r="M82" s="128"/>
      <c r="R82" s="129"/>
    </row>
    <row r="83" spans="1:21" ht="20.25" customHeight="1" x14ac:dyDescent="0.25">
      <c r="A83" s="106"/>
      <c r="E83" s="149"/>
    </row>
    <row r="84" spans="1:21" ht="27" customHeight="1" x14ac:dyDescent="0.25">
      <c r="A84" s="1027" t="s">
        <v>788</v>
      </c>
      <c r="B84" s="1027"/>
      <c r="C84" s="1027"/>
      <c r="D84" s="1027"/>
      <c r="E84" s="1027"/>
      <c r="F84" s="601"/>
      <c r="G84" s="107"/>
      <c r="H84" s="107"/>
      <c r="I84" s="107"/>
      <c r="J84" s="107"/>
      <c r="K84" s="107"/>
      <c r="L84" s="143" t="s">
        <v>148</v>
      </c>
      <c r="M84" s="130" t="s">
        <v>149</v>
      </c>
      <c r="N84" s="130" t="s">
        <v>138</v>
      </c>
      <c r="O84" s="130" t="s">
        <v>139</v>
      </c>
      <c r="P84" s="130" t="s">
        <v>140</v>
      </c>
      <c r="Q84" s="130" t="s">
        <v>152</v>
      </c>
      <c r="R84" s="130" t="s">
        <v>153</v>
      </c>
      <c r="S84" s="130" t="s">
        <v>154</v>
      </c>
      <c r="T84" s="130" t="s">
        <v>155</v>
      </c>
      <c r="U84" s="130" t="s">
        <v>156</v>
      </c>
    </row>
    <row r="85" spans="1:21" ht="20.25" customHeight="1" x14ac:dyDescent="0.25">
      <c r="A85" s="1026" t="s">
        <v>157</v>
      </c>
      <c r="B85" s="1026"/>
      <c r="C85" s="1026"/>
      <c r="D85" s="1026"/>
      <c r="E85" s="370">
        <f>'BP FORMAT JUILLET 2023'!J33-'BP FORMAT JUILLET 2023'!J22-'BP FORMAT JUILLET 2023'!J21-'BP FORMAT JUILLET 2023'!J20-'BP FORMAT JUILLET 2023'!J19-'BP FORMAT JUILLET 2023'!J18-'BP FORMAT JUILLET 2023'!J14-'BP FORMAT JUILLET 2023'!J17</f>
        <v>17000</v>
      </c>
      <c r="F85" s="602"/>
      <c r="G85" s="145"/>
      <c r="H85" s="145"/>
      <c r="I85" s="145"/>
      <c r="J85" s="145"/>
      <c r="K85" s="145"/>
      <c r="L85" s="144" t="e">
        <v>#DIV/0!</v>
      </c>
      <c r="M85" s="131" t="e">
        <v>#DIV/0!</v>
      </c>
      <c r="N85" s="131" t="e">
        <v>#DIV/0!</v>
      </c>
      <c r="O85" s="119" t="e">
        <v>#DIV/0!</v>
      </c>
      <c r="P85" s="119" t="e">
        <v>#DIV/0!</v>
      </c>
      <c r="Q85" s="119" t="e">
        <v>#DIV/0!</v>
      </c>
      <c r="R85" s="119" t="e">
        <v>#DIV/0!</v>
      </c>
      <c r="S85" s="119" t="e">
        <v>#DIV/0!</v>
      </c>
      <c r="T85" s="119" t="e">
        <v>#DIV/0!</v>
      </c>
      <c r="U85" s="119" t="e">
        <v>#DIV/0!</v>
      </c>
    </row>
    <row r="86" spans="1:21" ht="20.25" customHeight="1" x14ac:dyDescent="0.25">
      <c r="A86" s="1026" t="s">
        <v>362</v>
      </c>
      <c r="B86" s="1026"/>
      <c r="C86" s="1026"/>
      <c r="D86" s="1026"/>
      <c r="E86" s="370">
        <f>G57</f>
        <v>0</v>
      </c>
      <c r="F86" s="602"/>
      <c r="G86" s="145"/>
      <c r="H86" s="145"/>
      <c r="I86" s="145"/>
      <c r="J86" s="145"/>
      <c r="K86" s="145"/>
      <c r="L86" s="144"/>
      <c r="M86" s="131"/>
      <c r="N86" s="131"/>
      <c r="O86" s="119"/>
      <c r="P86" s="119"/>
      <c r="Q86" s="119"/>
      <c r="R86" s="119"/>
      <c r="S86" s="119"/>
      <c r="T86" s="119"/>
      <c r="U86" s="119"/>
    </row>
    <row r="87" spans="1:21" ht="20.25" customHeight="1" x14ac:dyDescent="0.25">
      <c r="A87" s="886" t="s">
        <v>363</v>
      </c>
      <c r="B87" s="886"/>
      <c r="C87" s="886"/>
      <c r="D87" s="886"/>
      <c r="E87" s="370">
        <f>E85+E86</f>
        <v>17000</v>
      </c>
      <c r="F87" s="602"/>
      <c r="G87" s="145"/>
      <c r="H87" s="145"/>
      <c r="I87" s="145"/>
      <c r="J87" s="145"/>
      <c r="K87" s="145"/>
      <c r="L87" s="144"/>
      <c r="M87" s="131"/>
      <c r="N87" s="131"/>
      <c r="O87" s="119"/>
      <c r="P87" s="119"/>
      <c r="Q87" s="119"/>
      <c r="R87" s="119"/>
      <c r="S87" s="119"/>
      <c r="T87" s="119"/>
      <c r="U87" s="119"/>
    </row>
    <row r="88" spans="1:21" ht="20.25" customHeight="1" x14ac:dyDescent="0.25">
      <c r="A88" s="1026" t="s">
        <v>19</v>
      </c>
      <c r="B88" s="1026"/>
      <c r="C88" s="1026"/>
      <c r="D88" s="1026"/>
      <c r="E88" s="370">
        <f>+'BP FORMAT JUILLET 2023'!J17</f>
        <v>0</v>
      </c>
      <c r="F88" s="602"/>
      <c r="G88" s="145"/>
      <c r="H88" s="145"/>
      <c r="I88" s="145"/>
      <c r="J88" s="145"/>
      <c r="K88" s="145"/>
      <c r="L88" s="144">
        <v>0</v>
      </c>
      <c r="M88" s="131">
        <v>0</v>
      </c>
      <c r="N88" s="131">
        <v>0</v>
      </c>
      <c r="O88" s="119">
        <v>0</v>
      </c>
      <c r="P88" s="119">
        <v>0</v>
      </c>
      <c r="Q88" s="119">
        <v>0</v>
      </c>
      <c r="R88" s="119">
        <v>0</v>
      </c>
      <c r="S88" s="119">
        <v>0</v>
      </c>
      <c r="T88" s="119">
        <v>0</v>
      </c>
      <c r="U88" s="119">
        <v>0</v>
      </c>
    </row>
    <row r="89" spans="1:21" ht="20.25" customHeight="1" x14ac:dyDescent="0.25">
      <c r="A89" s="1026" t="s">
        <v>377</v>
      </c>
      <c r="B89" s="1026"/>
      <c r="C89" s="1026"/>
      <c r="D89" s="1026"/>
      <c r="E89" s="370">
        <f>+'BP FORMAT JUILLET 2023'!J14</f>
        <v>0</v>
      </c>
      <c r="F89" s="602"/>
      <c r="G89" s="145"/>
      <c r="H89" s="145"/>
      <c r="I89" s="145"/>
      <c r="J89" s="145"/>
      <c r="K89" s="145"/>
      <c r="L89" s="144"/>
      <c r="M89" s="131"/>
      <c r="N89" s="131"/>
      <c r="O89" s="119"/>
      <c r="P89" s="119"/>
      <c r="Q89" s="119"/>
      <c r="R89" s="119"/>
      <c r="S89" s="119"/>
      <c r="T89" s="119"/>
      <c r="U89" s="119"/>
    </row>
    <row r="90" spans="1:21" ht="20.25" customHeight="1" x14ac:dyDescent="0.25">
      <c r="A90" s="1026" t="s">
        <v>283</v>
      </c>
      <c r="B90" s="1026"/>
      <c r="C90" s="1026"/>
      <c r="D90" s="1026"/>
      <c r="E90" s="370">
        <f>E88+E89</f>
        <v>0</v>
      </c>
      <c r="F90" s="602"/>
      <c r="G90" s="145"/>
      <c r="H90" s="145"/>
      <c r="I90" s="145"/>
      <c r="J90" s="145"/>
      <c r="K90" s="145"/>
      <c r="L90" s="144">
        <f t="shared" ref="L90:U90" si="27">L88+K90</f>
        <v>0</v>
      </c>
      <c r="M90" s="131">
        <f t="shared" si="27"/>
        <v>0</v>
      </c>
      <c r="N90" s="131">
        <f t="shared" si="27"/>
        <v>0</v>
      </c>
      <c r="O90" s="131">
        <f t="shared" si="27"/>
        <v>0</v>
      </c>
      <c r="P90" s="131">
        <f t="shared" si="27"/>
        <v>0</v>
      </c>
      <c r="Q90" s="131">
        <f t="shared" si="27"/>
        <v>0</v>
      </c>
      <c r="R90" s="131">
        <f t="shared" si="27"/>
        <v>0</v>
      </c>
      <c r="S90" s="131">
        <f t="shared" si="27"/>
        <v>0</v>
      </c>
      <c r="T90" s="131">
        <f t="shared" si="27"/>
        <v>0</v>
      </c>
      <c r="U90" s="131">
        <f t="shared" si="27"/>
        <v>0</v>
      </c>
    </row>
    <row r="91" spans="1:21" ht="24" customHeight="1" x14ac:dyDescent="0.25">
      <c r="A91" s="1026" t="s">
        <v>158</v>
      </c>
      <c r="B91" s="1026"/>
      <c r="C91" s="1026"/>
      <c r="D91" s="1026"/>
      <c r="E91" s="370">
        <f>E57</f>
        <v>2802.14</v>
      </c>
      <c r="F91" s="602"/>
      <c r="G91" s="145"/>
      <c r="H91" s="145"/>
      <c r="I91" s="145"/>
      <c r="J91" s="145"/>
      <c r="K91" s="145"/>
      <c r="L91" s="144" t="e">
        <v>#DIV/0!</v>
      </c>
      <c r="M91" s="131" t="e">
        <v>#DIV/0!</v>
      </c>
      <c r="N91" s="131" t="e">
        <v>#DIV/0!</v>
      </c>
      <c r="O91" s="119" t="e">
        <v>#DIV/0!</v>
      </c>
      <c r="P91" s="119" t="e">
        <v>#DIV/0!</v>
      </c>
      <c r="Q91" s="119" t="e">
        <v>#DIV/0!</v>
      </c>
      <c r="R91" s="119" t="e">
        <v>#DIV/0!</v>
      </c>
      <c r="S91" s="119" t="e">
        <v>#DIV/0!</v>
      </c>
      <c r="T91" s="119" t="e">
        <v>#DIV/0!</v>
      </c>
      <c r="U91" s="119" t="e">
        <v>#DIV/0!</v>
      </c>
    </row>
    <row r="92" spans="1:21" ht="24" customHeight="1" x14ac:dyDescent="0.25">
      <c r="A92" s="1026" t="s">
        <v>379</v>
      </c>
      <c r="B92" s="1026"/>
      <c r="C92" s="1026"/>
      <c r="D92" s="1026"/>
      <c r="E92" s="370">
        <f>'BP FORMAT JUILLET 2023'!F65</f>
        <v>1190.8</v>
      </c>
      <c r="F92" s="602"/>
      <c r="G92" s="145"/>
      <c r="H92" s="145"/>
      <c r="I92" s="145"/>
      <c r="J92" s="145"/>
      <c r="K92" s="145"/>
      <c r="L92" s="144" t="e">
        <v>#DIV/0!</v>
      </c>
      <c r="M92" s="131" t="e">
        <v>#DIV/0!</v>
      </c>
      <c r="N92" s="131" t="e">
        <v>#DIV/0!</v>
      </c>
      <c r="O92" s="119" t="e">
        <v>#DIV/0!</v>
      </c>
      <c r="P92" s="119" t="e">
        <v>#DIV/0!</v>
      </c>
      <c r="Q92" s="119" t="e">
        <v>#DIV/0!</v>
      </c>
      <c r="R92" s="119" t="e">
        <v>#DIV/0!</v>
      </c>
      <c r="S92" s="119" t="e">
        <v>#DIV/0!</v>
      </c>
      <c r="T92" s="119" t="e">
        <v>#DIV/0!</v>
      </c>
      <c r="U92" s="119" t="e">
        <v>#DIV/0!</v>
      </c>
    </row>
    <row r="93" spans="1:21" ht="24" customHeight="1" x14ac:dyDescent="0.25">
      <c r="A93" s="1026" t="s">
        <v>159</v>
      </c>
      <c r="B93" s="1026"/>
      <c r="C93" s="1026"/>
      <c r="D93" s="1026"/>
      <c r="E93" s="370">
        <f>'BP FORMAT JUILLET 2023'!F66</f>
        <v>507.84</v>
      </c>
      <c r="F93" s="602"/>
      <c r="G93" s="145"/>
      <c r="H93" s="145"/>
      <c r="I93" s="145"/>
      <c r="J93" s="145"/>
      <c r="K93" s="145"/>
      <c r="L93" s="144" t="e">
        <v>#DIV/0!</v>
      </c>
      <c r="M93" s="131" t="e">
        <v>#DIV/0!</v>
      </c>
      <c r="N93" s="131" t="e">
        <v>#DIV/0!</v>
      </c>
      <c r="O93" s="119" t="e">
        <v>#DIV/0!</v>
      </c>
      <c r="P93" s="119" t="e">
        <v>#DIV/0!</v>
      </c>
      <c r="Q93" s="119" t="e">
        <v>#DIV/0!</v>
      </c>
      <c r="R93" s="119" t="e">
        <v>#DIV/0!</v>
      </c>
      <c r="S93" s="119" t="e">
        <v>#DIV/0!</v>
      </c>
      <c r="T93" s="119" t="e">
        <v>#DIV/0!</v>
      </c>
      <c r="U93" s="119" t="e">
        <v>#DIV/0!</v>
      </c>
    </row>
    <row r="94" spans="1:21" ht="24" customHeight="1" x14ac:dyDescent="0.25">
      <c r="A94" s="1026" t="s">
        <v>160</v>
      </c>
      <c r="B94" s="1026"/>
      <c r="C94" s="1026"/>
      <c r="D94" s="1026"/>
      <c r="E94" s="370">
        <f>'BP FORMAT JUILLET 2023'!F67</f>
        <v>190.55</v>
      </c>
      <c r="F94" s="602"/>
      <c r="G94" s="145"/>
      <c r="H94" s="145"/>
      <c r="I94" s="145"/>
      <c r="J94" s="145"/>
      <c r="K94" s="145"/>
      <c r="L94" s="144" t="e">
        <v>#DIV/0!</v>
      </c>
      <c r="M94" s="131" t="e">
        <v>#DIV/0!</v>
      </c>
      <c r="N94" s="131" t="e">
        <v>#DIV/0!</v>
      </c>
      <c r="O94" s="119" t="e">
        <v>#DIV/0!</v>
      </c>
      <c r="P94" s="119" t="e">
        <v>#DIV/0!</v>
      </c>
      <c r="Q94" s="119" t="e">
        <v>#DIV/0!</v>
      </c>
      <c r="R94" s="119" t="e">
        <v>#DIV/0!</v>
      </c>
      <c r="S94" s="119" t="e">
        <v>#DIV/0!</v>
      </c>
      <c r="T94" s="119" t="e">
        <v>#DIV/0!</v>
      </c>
      <c r="U94" s="119" t="e">
        <v>#DIV/0!</v>
      </c>
    </row>
    <row r="95" spans="1:21" ht="24" customHeight="1" x14ac:dyDescent="0.25">
      <c r="A95" s="1026" t="s">
        <v>161</v>
      </c>
      <c r="B95" s="1026"/>
      <c r="C95" s="1026"/>
      <c r="D95" s="1026"/>
      <c r="E95" s="370">
        <f>'BP FORMAT JUILLET 2023'!F68</f>
        <v>0</v>
      </c>
      <c r="F95" s="602"/>
      <c r="G95" s="145"/>
      <c r="H95" s="145"/>
      <c r="I95" s="145"/>
      <c r="J95" s="145"/>
      <c r="K95" s="145"/>
      <c r="L95" s="144">
        <v>0</v>
      </c>
      <c r="M95" s="131">
        <v>0</v>
      </c>
      <c r="N95" s="131" t="e">
        <v>#DIV/0!</v>
      </c>
      <c r="O95" s="119" t="e">
        <v>#DIV/0!</v>
      </c>
      <c r="P95" s="119" t="e">
        <v>#DIV/0!</v>
      </c>
      <c r="Q95" s="119" t="e">
        <v>#DIV/0!</v>
      </c>
      <c r="R95" s="119" t="e">
        <v>#DIV/0!</v>
      </c>
      <c r="S95" s="119" t="e">
        <v>#DIV/0!</v>
      </c>
      <c r="T95" s="119" t="e">
        <v>#DIV/0!</v>
      </c>
      <c r="U95" s="119" t="e">
        <v>#DIV/0!</v>
      </c>
    </row>
    <row r="96" spans="1:21" ht="24" customHeight="1" x14ac:dyDescent="0.25">
      <c r="A96" s="1026" t="s">
        <v>162</v>
      </c>
      <c r="B96" s="1026"/>
      <c r="C96" s="1026"/>
      <c r="D96" s="1026"/>
      <c r="E96" s="370">
        <f>'BP FORMAT JUILLET 2023'!F69</f>
        <v>81.260000000000005</v>
      </c>
      <c r="F96" s="602"/>
      <c r="G96" s="145"/>
      <c r="H96" s="145"/>
      <c r="I96" s="145"/>
      <c r="J96" s="145"/>
      <c r="K96" s="145"/>
      <c r="L96" s="144" t="e">
        <v>#DIV/0!</v>
      </c>
      <c r="M96" s="131" t="e">
        <v>#DIV/0!</v>
      </c>
      <c r="N96" s="131" t="e">
        <v>#DIV/0!</v>
      </c>
      <c r="O96" s="119" t="e">
        <v>#DIV/0!</v>
      </c>
      <c r="P96" s="119" t="e">
        <v>#DIV/0!</v>
      </c>
      <c r="Q96" s="119" t="e">
        <v>#DIV/0!</v>
      </c>
      <c r="R96" s="119" t="e">
        <v>#DIV/0!</v>
      </c>
      <c r="S96" s="119" t="e">
        <v>#DIV/0!</v>
      </c>
      <c r="T96" s="119" t="e">
        <v>#DIV/0!</v>
      </c>
      <c r="U96" s="119" t="e">
        <v>#DIV/0!</v>
      </c>
    </row>
    <row r="97" spans="1:21" ht="24" customHeight="1" x14ac:dyDescent="0.25">
      <c r="A97" s="1026" t="s">
        <v>163</v>
      </c>
      <c r="B97" s="1026"/>
      <c r="C97" s="1026"/>
      <c r="D97" s="1026"/>
      <c r="E97" s="370">
        <f>'BP FORMAT JUILLET 2023'!F72+'BP FORMAT JUILLET 2023'!F75+'BP FORMAT JUILLET 2023'!F77+'BP FORMAT JUILLET 2023'!F74+'BP FORMAT JUILLET 2023'!F44</f>
        <v>2233.6500000000005</v>
      </c>
      <c r="F97" s="602"/>
      <c r="G97" s="145"/>
      <c r="H97" s="145"/>
      <c r="I97" s="145"/>
      <c r="J97" s="145"/>
      <c r="K97" s="145"/>
      <c r="L97" s="144" t="e">
        <v>#DIV/0!</v>
      </c>
      <c r="M97" s="131" t="e">
        <v>#DIV/0!</v>
      </c>
      <c r="N97" s="131" t="e">
        <v>#DIV/0!</v>
      </c>
      <c r="O97" s="119" t="e">
        <v>#DIV/0!</v>
      </c>
      <c r="P97" s="119" t="e">
        <v>#DIV/0!</v>
      </c>
      <c r="Q97" s="119" t="e">
        <v>#DIV/0!</v>
      </c>
      <c r="R97" s="119" t="e">
        <v>#DIV/0!</v>
      </c>
      <c r="S97" s="119" t="e">
        <v>#DIV/0!</v>
      </c>
      <c r="T97" s="119" t="e">
        <v>#DIV/0!</v>
      </c>
      <c r="U97" s="119" t="e">
        <v>#DIV/0!</v>
      </c>
    </row>
    <row r="98" spans="1:21" ht="24" customHeight="1" x14ac:dyDescent="0.25">
      <c r="A98" s="1026" t="s">
        <v>164</v>
      </c>
      <c r="B98" s="1026"/>
      <c r="C98" s="1026"/>
      <c r="D98" s="1026"/>
      <c r="E98" s="370">
        <f>'BP FORMAT JUILLET 2023'!G40+'BP FORMAT JUILLET 2023'!G43</f>
        <v>396.04</v>
      </c>
      <c r="F98" s="602"/>
      <c r="G98" s="145"/>
      <c r="H98" s="145"/>
      <c r="I98" s="145"/>
      <c r="J98" s="145"/>
      <c r="K98" s="145"/>
      <c r="L98" s="144" t="e">
        <v>#DIV/0!</v>
      </c>
      <c r="M98" s="131" t="e">
        <v>#DIV/0!</v>
      </c>
      <c r="N98" s="131" t="e">
        <v>#DIV/0!</v>
      </c>
      <c r="O98" s="119" t="e">
        <v>#DIV/0!</v>
      </c>
      <c r="P98" s="119" t="e">
        <v>#DIV/0!</v>
      </c>
      <c r="Q98" s="119" t="e">
        <v>#DIV/0!</v>
      </c>
      <c r="R98" s="119" t="e">
        <v>#DIV/0!</v>
      </c>
      <c r="S98" s="119" t="e">
        <v>#DIV/0!</v>
      </c>
      <c r="T98" s="119" t="e">
        <v>#DIV/0!</v>
      </c>
      <c r="U98" s="119" t="e">
        <v>#DIV/0!</v>
      </c>
    </row>
    <row r="99" spans="1:21" ht="27" customHeight="1" x14ac:dyDescent="0.25">
      <c r="A99" s="1026" t="s">
        <v>373</v>
      </c>
      <c r="B99" s="1026"/>
      <c r="C99" s="1026"/>
      <c r="D99" s="1026"/>
      <c r="E99" s="603">
        <f>'BP FORMAT JUILLET 2023'!G75+'BP FORMAT JUILLET 2023'!G77+'BP FORMAT JUILLET 2023'!G44+'BP FORMAT JUILLET 2023'!G74</f>
        <v>396.04</v>
      </c>
      <c r="F99" s="602"/>
      <c r="G99" s="52"/>
      <c r="H99" s="52"/>
      <c r="I99" s="52"/>
      <c r="J99" s="52"/>
      <c r="K99" s="52"/>
      <c r="L99" s="52"/>
    </row>
    <row r="100" spans="1:21" ht="24" customHeight="1" x14ac:dyDescent="0.25">
      <c r="A100" s="1026" t="s">
        <v>217</v>
      </c>
      <c r="B100" s="1026"/>
      <c r="C100" s="1026"/>
      <c r="D100" s="1026"/>
      <c r="E100" s="604">
        <f>E85+E86+E88+E93+E94+E96-E97+E98+E104</f>
        <v>15942.039999999997</v>
      </c>
      <c r="F100" s="52"/>
      <c r="G100" s="52"/>
      <c r="H100" s="52"/>
      <c r="I100" s="52"/>
      <c r="J100" s="52"/>
      <c r="K100" s="52"/>
      <c r="L100" s="52"/>
    </row>
    <row r="101" spans="1:21" ht="20.25" customHeight="1" x14ac:dyDescent="0.25">
      <c r="C101" s="52"/>
      <c r="E101" s="52"/>
      <c r="F101" s="52"/>
      <c r="G101" s="52"/>
      <c r="H101" s="52"/>
      <c r="I101" s="52"/>
      <c r="J101" s="52"/>
      <c r="K101" s="52"/>
      <c r="L101" s="52"/>
    </row>
    <row r="102" spans="1:21" ht="20.25" customHeight="1" x14ac:dyDescent="0.25">
      <c r="C102" s="52"/>
      <c r="E102" s="52"/>
      <c r="F102" s="52"/>
      <c r="G102" s="52"/>
      <c r="H102" s="52"/>
      <c r="I102" s="52"/>
      <c r="J102" s="52"/>
      <c r="K102" s="52"/>
      <c r="L102" s="52"/>
    </row>
    <row r="103" spans="1:21" ht="20.25" customHeight="1" x14ac:dyDescent="0.25">
      <c r="A103" s="729"/>
      <c r="B103" s="729"/>
      <c r="C103" s="729"/>
      <c r="D103" s="729"/>
      <c r="E103" s="605"/>
      <c r="F103" s="605"/>
      <c r="G103" s="605"/>
      <c r="H103" s="605"/>
      <c r="I103" s="605"/>
      <c r="J103" s="605"/>
      <c r="K103" s="605"/>
      <c r="L103" s="606"/>
      <c r="M103" s="132"/>
      <c r="N103" s="132"/>
      <c r="O103" s="132"/>
      <c r="P103" s="132"/>
      <c r="Q103" s="132"/>
      <c r="R103" s="132"/>
      <c r="S103" s="132"/>
      <c r="T103" s="132"/>
      <c r="U103" s="132"/>
    </row>
    <row r="104" spans="1:21" ht="20.25" customHeight="1" x14ac:dyDescent="0.25">
      <c r="A104" s="742" t="s">
        <v>188</v>
      </c>
      <c r="B104" s="742"/>
      <c r="C104" s="742"/>
      <c r="D104" s="742"/>
      <c r="E104" s="152"/>
      <c r="F104" s="605"/>
      <c r="G104" s="605"/>
      <c r="H104" s="605"/>
      <c r="I104" s="605"/>
      <c r="J104" s="605"/>
      <c r="K104" s="605"/>
      <c r="L104" s="606"/>
      <c r="M104" s="132"/>
      <c r="N104" s="132"/>
      <c r="O104" s="132"/>
      <c r="P104" s="132"/>
      <c r="Q104" s="132"/>
      <c r="R104" s="132"/>
      <c r="S104" s="132"/>
      <c r="T104" s="132"/>
      <c r="U104" s="132"/>
    </row>
    <row r="105" spans="1:21" ht="20.25" customHeight="1" x14ac:dyDescent="0.25">
      <c r="A105" s="729"/>
      <c r="B105" s="729"/>
      <c r="C105" s="729"/>
      <c r="D105" s="729"/>
      <c r="E105" s="605"/>
      <c r="F105" s="605"/>
      <c r="G105" s="605"/>
      <c r="H105" s="605"/>
      <c r="I105" s="605"/>
      <c r="J105" s="605"/>
      <c r="K105" s="605">
        <f t="shared" ref="K105:U105" si="28">K85-K97+K98+K93+K96+K94+K88+K103</f>
        <v>0</v>
      </c>
      <c r="L105" s="607" t="e">
        <f t="shared" si="28"/>
        <v>#DIV/0!</v>
      </c>
      <c r="M105" s="133" t="e">
        <f t="shared" si="28"/>
        <v>#DIV/0!</v>
      </c>
      <c r="N105" s="133" t="e">
        <f t="shared" si="28"/>
        <v>#DIV/0!</v>
      </c>
      <c r="O105" s="133" t="e">
        <f t="shared" si="28"/>
        <v>#DIV/0!</v>
      </c>
      <c r="P105" s="133" t="e">
        <f t="shared" si="28"/>
        <v>#DIV/0!</v>
      </c>
      <c r="Q105" s="133" t="e">
        <f t="shared" si="28"/>
        <v>#DIV/0!</v>
      </c>
      <c r="R105" s="133" t="e">
        <f t="shared" si="28"/>
        <v>#DIV/0!</v>
      </c>
      <c r="S105" s="133" t="e">
        <f t="shared" si="28"/>
        <v>#DIV/0!</v>
      </c>
      <c r="T105" s="133" t="e">
        <f t="shared" si="28"/>
        <v>#DIV/0!</v>
      </c>
      <c r="U105" s="133" t="e">
        <f t="shared" si="28"/>
        <v>#DIV/0!</v>
      </c>
    </row>
    <row r="107" spans="1:21" ht="30.75" customHeight="1" x14ac:dyDescent="0.25">
      <c r="E107" s="151" t="s">
        <v>193</v>
      </c>
      <c r="F107" s="151"/>
      <c r="G107" s="149"/>
      <c r="H107" s="149"/>
      <c r="I107" s="149"/>
      <c r="J107" s="149"/>
      <c r="K107" s="149"/>
      <c r="L107" s="146" t="s">
        <v>148</v>
      </c>
      <c r="M107" s="134" t="s">
        <v>149</v>
      </c>
      <c r="N107" s="134" t="s">
        <v>138</v>
      </c>
      <c r="O107" s="134" t="s">
        <v>139</v>
      </c>
      <c r="P107" s="134" t="s">
        <v>151</v>
      </c>
      <c r="Q107" s="134" t="s">
        <v>152</v>
      </c>
      <c r="R107" s="134" t="s">
        <v>153</v>
      </c>
      <c r="S107" s="134" t="s">
        <v>154</v>
      </c>
      <c r="T107" s="134" t="s">
        <v>155</v>
      </c>
      <c r="U107" s="134" t="s">
        <v>156</v>
      </c>
    </row>
    <row r="108" spans="1:21" ht="20.25" customHeight="1" x14ac:dyDescent="0.25">
      <c r="A108" s="742" t="s">
        <v>165</v>
      </c>
      <c r="B108" s="742"/>
      <c r="C108" s="742"/>
      <c r="D108" s="742"/>
      <c r="E108" s="135">
        <f>C57</f>
        <v>2802.14</v>
      </c>
      <c r="F108" s="135"/>
      <c r="G108" s="150"/>
      <c r="H108" s="150"/>
      <c r="I108" s="150"/>
      <c r="J108" s="150"/>
      <c r="K108" s="102"/>
      <c r="L108" s="147" t="e">
        <f>C60</f>
        <v>#DIV/0!</v>
      </c>
      <c r="M108" s="135" t="e">
        <f>C61</f>
        <v>#DIV/0!</v>
      </c>
      <c r="N108" s="135" t="e">
        <f>C62</f>
        <v>#DIV/0!</v>
      </c>
      <c r="O108" s="135" t="e">
        <f>C63</f>
        <v>#DIV/0!</v>
      </c>
      <c r="P108" s="135" t="e">
        <f>C64</f>
        <v>#DIV/0!</v>
      </c>
      <c r="Q108" s="137" t="e">
        <f>C65</f>
        <v>#DIV/0!</v>
      </c>
      <c r="R108" s="137" t="e">
        <f>C66</f>
        <v>#DIV/0!</v>
      </c>
      <c r="S108" s="137" t="e">
        <f>+C67</f>
        <v>#DIV/0!</v>
      </c>
      <c r="T108" s="137" t="e">
        <f>C68</f>
        <v>#DIV/0!</v>
      </c>
      <c r="U108" s="137" t="e">
        <f>C69</f>
        <v>#DIV/0!</v>
      </c>
    </row>
    <row r="109" spans="1:21" ht="20.25" customHeight="1" x14ac:dyDescent="0.25">
      <c r="A109" s="742" t="s">
        <v>166</v>
      </c>
      <c r="B109" s="742"/>
      <c r="C109" s="742"/>
      <c r="D109" s="742"/>
      <c r="E109" s="135">
        <f>E108</f>
        <v>2802.14</v>
      </c>
      <c r="F109" s="135"/>
      <c r="G109" s="150"/>
      <c r="H109" s="150"/>
      <c r="I109" s="150"/>
      <c r="J109" s="150"/>
      <c r="K109" s="150"/>
      <c r="L109" s="147" t="e">
        <f t="shared" ref="L109:U109" si="29">L108-K108</f>
        <v>#DIV/0!</v>
      </c>
      <c r="M109" s="135" t="e">
        <f t="shared" si="29"/>
        <v>#DIV/0!</v>
      </c>
      <c r="N109" s="135" t="e">
        <f t="shared" si="29"/>
        <v>#DIV/0!</v>
      </c>
      <c r="O109" s="135" t="e">
        <f t="shared" si="29"/>
        <v>#DIV/0!</v>
      </c>
      <c r="P109" s="137" t="e">
        <f t="shared" si="29"/>
        <v>#DIV/0!</v>
      </c>
      <c r="Q109" s="137" t="e">
        <f t="shared" si="29"/>
        <v>#DIV/0!</v>
      </c>
      <c r="R109" s="137" t="e">
        <f t="shared" si="29"/>
        <v>#DIV/0!</v>
      </c>
      <c r="S109" s="137" t="e">
        <f t="shared" si="29"/>
        <v>#DIV/0!</v>
      </c>
      <c r="T109" s="137" t="e">
        <f t="shared" si="29"/>
        <v>#DIV/0!</v>
      </c>
      <c r="U109" s="137" t="e">
        <f t="shared" si="29"/>
        <v>#DIV/0!</v>
      </c>
    </row>
    <row r="110" spans="1:21" ht="20.25" customHeight="1" x14ac:dyDescent="0.25">
      <c r="A110" s="742" t="s">
        <v>214</v>
      </c>
      <c r="B110" s="742"/>
      <c r="C110" s="742"/>
      <c r="D110" s="742"/>
      <c r="E110" s="136">
        <f>IF(E108&lt;8037,0,E108-8037)</f>
        <v>0</v>
      </c>
      <c r="F110" s="136"/>
      <c r="G110" s="102"/>
      <c r="H110" s="102"/>
      <c r="I110" s="102"/>
      <c r="J110" s="102"/>
      <c r="K110" s="102"/>
      <c r="L110" s="148" t="e">
        <f t="shared" ref="L110:U110" si="30">IF(L108&lt;5358,0,L108-5358)</f>
        <v>#DIV/0!</v>
      </c>
      <c r="M110" s="136" t="e">
        <f t="shared" si="30"/>
        <v>#DIV/0!</v>
      </c>
      <c r="N110" s="136" t="e">
        <f t="shared" si="30"/>
        <v>#DIV/0!</v>
      </c>
      <c r="O110" s="136" t="e">
        <f t="shared" si="30"/>
        <v>#DIV/0!</v>
      </c>
      <c r="P110" s="136" t="e">
        <f t="shared" si="30"/>
        <v>#DIV/0!</v>
      </c>
      <c r="Q110" s="136" t="e">
        <f t="shared" si="30"/>
        <v>#DIV/0!</v>
      </c>
      <c r="R110" s="136" t="e">
        <f t="shared" si="30"/>
        <v>#DIV/0!</v>
      </c>
      <c r="S110" s="136" t="e">
        <f t="shared" si="30"/>
        <v>#DIV/0!</v>
      </c>
      <c r="T110" s="136" t="e">
        <f t="shared" si="30"/>
        <v>#DIV/0!</v>
      </c>
      <c r="U110" s="136" t="e">
        <f t="shared" si="30"/>
        <v>#DIV/0!</v>
      </c>
    </row>
    <row r="111" spans="1:21" ht="20.25" customHeight="1" x14ac:dyDescent="0.25">
      <c r="A111" s="742" t="s">
        <v>215</v>
      </c>
      <c r="B111" s="742"/>
      <c r="C111" s="742"/>
      <c r="D111" s="742"/>
      <c r="E111" s="136">
        <f>E110</f>
        <v>0</v>
      </c>
      <c r="F111" s="136"/>
      <c r="G111" s="102"/>
      <c r="H111" s="102"/>
      <c r="I111" s="102"/>
      <c r="J111" s="102"/>
      <c r="K111" s="102"/>
      <c r="L111" s="148" t="e">
        <f t="shared" ref="L111:U111" si="31">L110-K110</f>
        <v>#DIV/0!</v>
      </c>
      <c r="M111" s="136" t="e">
        <f t="shared" si="31"/>
        <v>#DIV/0!</v>
      </c>
      <c r="N111" s="136" t="e">
        <f t="shared" si="31"/>
        <v>#DIV/0!</v>
      </c>
      <c r="O111" s="136" t="e">
        <f t="shared" si="31"/>
        <v>#DIV/0!</v>
      </c>
      <c r="P111" s="136" t="e">
        <f t="shared" si="31"/>
        <v>#DIV/0!</v>
      </c>
      <c r="Q111" s="136" t="e">
        <f t="shared" si="31"/>
        <v>#DIV/0!</v>
      </c>
      <c r="R111" s="136" t="e">
        <f t="shared" si="31"/>
        <v>#DIV/0!</v>
      </c>
      <c r="S111" s="136" t="e">
        <f t="shared" si="31"/>
        <v>#DIV/0!</v>
      </c>
      <c r="T111" s="136" t="e">
        <f t="shared" si="31"/>
        <v>#DIV/0!</v>
      </c>
      <c r="U111" s="136" t="e">
        <f t="shared" si="31"/>
        <v>#DIV/0!</v>
      </c>
    </row>
    <row r="113" spans="1:21" ht="0.75" hidden="1" customHeight="1" x14ac:dyDescent="0.25">
      <c r="E113" s="138" t="s">
        <v>136</v>
      </c>
      <c r="F113" s="138"/>
      <c r="G113" s="138"/>
      <c r="H113" s="138"/>
      <c r="I113" s="138"/>
      <c r="J113" s="138"/>
      <c r="K113" s="138" t="s">
        <v>137</v>
      </c>
      <c r="L113" s="138" t="s">
        <v>148</v>
      </c>
      <c r="M113" s="138" t="s">
        <v>149</v>
      </c>
      <c r="N113" s="138" t="s">
        <v>138</v>
      </c>
      <c r="O113" s="138" t="s">
        <v>139</v>
      </c>
      <c r="P113" s="138" t="s">
        <v>151</v>
      </c>
      <c r="Q113" s="138" t="s">
        <v>152</v>
      </c>
      <c r="R113" s="138" t="s">
        <v>153</v>
      </c>
      <c r="S113" s="138" t="s">
        <v>154</v>
      </c>
      <c r="T113" s="138" t="s">
        <v>155</v>
      </c>
      <c r="U113" s="138" t="s">
        <v>156</v>
      </c>
    </row>
    <row r="114" spans="1:21" ht="0.75" hidden="1" customHeight="1" x14ac:dyDescent="0.25">
      <c r="A114" s="891" t="s">
        <v>167</v>
      </c>
      <c r="B114" s="891"/>
      <c r="C114" s="891"/>
      <c r="D114" s="891"/>
      <c r="E114" s="133">
        <f t="shared" ref="E114:U114" si="32">E85+E88</f>
        <v>17000</v>
      </c>
      <c r="F114" s="133"/>
      <c r="G114" s="133"/>
      <c r="H114" s="133"/>
      <c r="I114" s="133"/>
      <c r="J114" s="133"/>
      <c r="K114" s="133">
        <f t="shared" si="32"/>
        <v>0</v>
      </c>
      <c r="L114" s="133" t="e">
        <f t="shared" si="32"/>
        <v>#DIV/0!</v>
      </c>
      <c r="M114" s="133" t="e">
        <f t="shared" si="32"/>
        <v>#DIV/0!</v>
      </c>
      <c r="N114" s="133" t="e">
        <f t="shared" si="32"/>
        <v>#DIV/0!</v>
      </c>
      <c r="O114" s="133" t="e">
        <f t="shared" si="32"/>
        <v>#DIV/0!</v>
      </c>
      <c r="P114" s="133" t="e">
        <f t="shared" si="32"/>
        <v>#DIV/0!</v>
      </c>
      <c r="Q114" s="133" t="e">
        <f t="shared" si="32"/>
        <v>#DIV/0!</v>
      </c>
      <c r="R114" s="133" t="e">
        <f t="shared" si="32"/>
        <v>#DIV/0!</v>
      </c>
      <c r="S114" s="133" t="e">
        <f t="shared" si="32"/>
        <v>#DIV/0!</v>
      </c>
      <c r="T114" s="133" t="e">
        <f t="shared" si="32"/>
        <v>#DIV/0!</v>
      </c>
      <c r="U114" s="133" t="e">
        <f t="shared" si="32"/>
        <v>#DIV/0!</v>
      </c>
    </row>
    <row r="115" spans="1:21" ht="0.75" hidden="1" customHeight="1" x14ac:dyDescent="0.25">
      <c r="A115" s="891" t="s">
        <v>168</v>
      </c>
      <c r="B115" s="891"/>
      <c r="C115" s="891"/>
      <c r="D115" s="891"/>
      <c r="E115" s="133">
        <f>E91</f>
        <v>2802.14</v>
      </c>
      <c r="F115" s="133"/>
      <c r="G115" s="133"/>
      <c r="H115" s="133"/>
      <c r="I115" s="133"/>
      <c r="J115" s="133"/>
      <c r="K115" s="133">
        <f>K91</f>
        <v>0</v>
      </c>
      <c r="L115" s="133" t="e">
        <f>L91</f>
        <v>#DIV/0!</v>
      </c>
      <c r="M115" s="133" t="e">
        <f>M91</f>
        <v>#DIV/0!</v>
      </c>
      <c r="N115" s="133" t="e">
        <f>N91</f>
        <v>#DIV/0!</v>
      </c>
      <c r="O115" s="119" t="e">
        <f t="shared" ref="O115:U115" si="33">+O91</f>
        <v>#DIV/0!</v>
      </c>
      <c r="P115" s="119" t="e">
        <f t="shared" si="33"/>
        <v>#DIV/0!</v>
      </c>
      <c r="Q115" s="119" t="e">
        <f t="shared" si="33"/>
        <v>#DIV/0!</v>
      </c>
      <c r="R115" s="119" t="e">
        <f t="shared" si="33"/>
        <v>#DIV/0!</v>
      </c>
      <c r="S115" s="119" t="e">
        <f t="shared" si="33"/>
        <v>#DIV/0!</v>
      </c>
      <c r="T115" s="119" t="e">
        <f t="shared" si="33"/>
        <v>#DIV/0!</v>
      </c>
      <c r="U115" s="119" t="e">
        <f t="shared" si="33"/>
        <v>#DIV/0!</v>
      </c>
    </row>
    <row r="116" spans="1:21" ht="0.75" hidden="1" customHeight="1" x14ac:dyDescent="0.25">
      <c r="A116" s="891" t="s">
        <v>169</v>
      </c>
      <c r="B116" s="891"/>
      <c r="C116" s="891"/>
      <c r="D116" s="891"/>
      <c r="E116" s="133">
        <f>E114+E115</f>
        <v>19802.14</v>
      </c>
      <c r="F116" s="133"/>
      <c r="G116" s="133"/>
      <c r="H116" s="133"/>
      <c r="I116" s="133"/>
      <c r="J116" s="133"/>
      <c r="K116" s="133">
        <f>K115+K114+E116</f>
        <v>19802.14</v>
      </c>
      <c r="L116" s="133" t="e">
        <f t="shared" ref="L116:U116" si="34">L115+L114+K116</f>
        <v>#DIV/0!</v>
      </c>
      <c r="M116" s="133" t="e">
        <f t="shared" si="34"/>
        <v>#DIV/0!</v>
      </c>
      <c r="N116" s="133" t="e">
        <f t="shared" si="34"/>
        <v>#DIV/0!</v>
      </c>
      <c r="O116" s="133" t="e">
        <f t="shared" si="34"/>
        <v>#DIV/0!</v>
      </c>
      <c r="P116" s="133" t="e">
        <f t="shared" si="34"/>
        <v>#DIV/0!</v>
      </c>
      <c r="Q116" s="133" t="e">
        <f t="shared" si="34"/>
        <v>#DIV/0!</v>
      </c>
      <c r="R116" s="133" t="e">
        <f t="shared" si="34"/>
        <v>#DIV/0!</v>
      </c>
      <c r="S116" s="133" t="e">
        <f t="shared" si="34"/>
        <v>#DIV/0!</v>
      </c>
      <c r="T116" s="133" t="e">
        <f t="shared" si="34"/>
        <v>#DIV/0!</v>
      </c>
      <c r="U116" s="133" t="e">
        <f t="shared" si="34"/>
        <v>#DIV/0!</v>
      </c>
    </row>
    <row r="117" spans="1:21" ht="0.75" hidden="1" customHeight="1" x14ac:dyDescent="0.25">
      <c r="A117" s="891" t="s">
        <v>170</v>
      </c>
      <c r="B117" s="891"/>
      <c r="C117" s="891"/>
      <c r="D117" s="891"/>
      <c r="E117" s="133">
        <f>D24</f>
        <v>3428</v>
      </c>
      <c r="F117" s="133"/>
      <c r="G117" s="133"/>
      <c r="H117" s="133"/>
      <c r="I117" s="133"/>
      <c r="J117" s="133"/>
      <c r="K117" s="133">
        <f>D25</f>
        <v>3428</v>
      </c>
      <c r="L117" s="133">
        <f>D26</f>
        <v>3428</v>
      </c>
      <c r="M117" s="133">
        <f>D27</f>
        <v>3428</v>
      </c>
      <c r="N117" s="133">
        <f>D28</f>
        <v>3428</v>
      </c>
      <c r="O117" s="96">
        <f>D29</f>
        <v>3428</v>
      </c>
      <c r="P117" s="96">
        <f>D30</f>
        <v>3428</v>
      </c>
      <c r="Q117" s="98"/>
      <c r="R117" s="98"/>
      <c r="S117" s="98"/>
      <c r="T117" s="98"/>
      <c r="U117" s="98"/>
    </row>
    <row r="118" spans="1:21" ht="0.75" hidden="1" customHeight="1" x14ac:dyDescent="0.25">
      <c r="A118" s="891" t="s">
        <v>171</v>
      </c>
      <c r="B118" s="891"/>
      <c r="C118" s="891"/>
      <c r="D118" s="891"/>
      <c r="E118" s="133">
        <f t="shared" ref="E118:U118" si="35">4*E117</f>
        <v>13712</v>
      </c>
      <c r="F118" s="133"/>
      <c r="G118" s="133"/>
      <c r="H118" s="133"/>
      <c r="I118" s="133"/>
      <c r="J118" s="133"/>
      <c r="K118" s="133">
        <f t="shared" si="35"/>
        <v>13712</v>
      </c>
      <c r="L118" s="133">
        <f t="shared" si="35"/>
        <v>13712</v>
      </c>
      <c r="M118" s="133">
        <f t="shared" si="35"/>
        <v>13712</v>
      </c>
      <c r="N118" s="133">
        <f t="shared" si="35"/>
        <v>13712</v>
      </c>
      <c r="O118" s="133">
        <f t="shared" si="35"/>
        <v>13712</v>
      </c>
      <c r="P118" s="133">
        <f t="shared" si="35"/>
        <v>13712</v>
      </c>
      <c r="Q118" s="133">
        <f t="shared" si="35"/>
        <v>0</v>
      </c>
      <c r="R118" s="133">
        <f t="shared" si="35"/>
        <v>0</v>
      </c>
      <c r="S118" s="133">
        <f t="shared" si="35"/>
        <v>0</v>
      </c>
      <c r="T118" s="133">
        <f t="shared" si="35"/>
        <v>0</v>
      </c>
      <c r="U118" s="133">
        <f t="shared" si="35"/>
        <v>0</v>
      </c>
    </row>
    <row r="119" spans="1:21" ht="0.75" hidden="1" customHeight="1" x14ac:dyDescent="0.25">
      <c r="A119" s="892" t="s">
        <v>172</v>
      </c>
      <c r="B119" s="893"/>
      <c r="C119" s="893"/>
      <c r="D119" s="894"/>
      <c r="E119" s="133">
        <v>245.54</v>
      </c>
      <c r="F119" s="133"/>
      <c r="G119" s="133"/>
      <c r="H119" s="133"/>
      <c r="I119" s="133"/>
      <c r="J119" s="133"/>
      <c r="K119" s="133">
        <v>0</v>
      </c>
      <c r="L119" s="133" t="e">
        <v>#DIV/0!</v>
      </c>
      <c r="M119" s="133" t="e">
        <v>#DIV/0!</v>
      </c>
      <c r="N119" s="133" t="e">
        <v>#DIV/0!</v>
      </c>
      <c r="O119" s="133" t="e">
        <v>#DIV/0!</v>
      </c>
      <c r="P119" s="119" t="e">
        <v>#DIV/0!</v>
      </c>
      <c r="Q119" s="98"/>
      <c r="R119" s="98"/>
      <c r="S119" s="98"/>
      <c r="T119" s="98"/>
      <c r="U119" s="98"/>
    </row>
    <row r="120" spans="1:21" ht="0.75" hidden="1" customHeight="1" x14ac:dyDescent="0.25">
      <c r="A120" s="891" t="s">
        <v>173</v>
      </c>
      <c r="B120" s="891"/>
      <c r="C120" s="891"/>
      <c r="D120" s="891"/>
      <c r="E120" s="99">
        <f t="shared" ref="E120:U120" si="36">IF(E114&lt;=E118,E114*0.9825+E119,E118*0.9825+E114-E118+E119)</f>
        <v>17005.580000000002</v>
      </c>
      <c r="F120" s="99"/>
      <c r="G120" s="99"/>
      <c r="H120" s="99"/>
      <c r="I120" s="99"/>
      <c r="J120" s="99"/>
      <c r="K120" s="99">
        <f t="shared" si="36"/>
        <v>0</v>
      </c>
      <c r="L120" s="99" t="e">
        <f t="shared" si="36"/>
        <v>#DIV/0!</v>
      </c>
      <c r="M120" s="99" t="e">
        <f t="shared" si="36"/>
        <v>#DIV/0!</v>
      </c>
      <c r="N120" s="99" t="e">
        <f t="shared" si="36"/>
        <v>#DIV/0!</v>
      </c>
      <c r="O120" s="99" t="e">
        <f t="shared" si="36"/>
        <v>#DIV/0!</v>
      </c>
      <c r="P120" s="99" t="e">
        <f t="shared" si="36"/>
        <v>#DIV/0!</v>
      </c>
      <c r="Q120" s="99" t="e">
        <f t="shared" si="36"/>
        <v>#DIV/0!</v>
      </c>
      <c r="R120" s="99" t="e">
        <f t="shared" si="36"/>
        <v>#DIV/0!</v>
      </c>
      <c r="S120" s="99" t="e">
        <f t="shared" si="36"/>
        <v>#DIV/0!</v>
      </c>
      <c r="T120" s="99" t="e">
        <f t="shared" si="36"/>
        <v>#DIV/0!</v>
      </c>
      <c r="U120" s="99" t="e">
        <f t="shared" si="36"/>
        <v>#DIV/0!</v>
      </c>
    </row>
    <row r="121" spans="1:21" ht="0.75" hidden="1" customHeight="1" x14ac:dyDescent="0.25">
      <c r="A121" s="891" t="s">
        <v>174</v>
      </c>
      <c r="B121" s="891"/>
      <c r="C121" s="891"/>
      <c r="D121" s="891"/>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608">
        <v>13000</v>
      </c>
      <c r="D124" s="57">
        <v>1000</v>
      </c>
    </row>
    <row r="125" spans="1:21" x14ac:dyDescent="0.25">
      <c r="B125" s="4" t="s">
        <v>375</v>
      </c>
      <c r="C125" s="481">
        <f>'BP FORMAT JUILLET 2023'!C33</f>
        <v>4005</v>
      </c>
    </row>
    <row r="126" spans="1:21" x14ac:dyDescent="0.25">
      <c r="I126" s="10"/>
    </row>
    <row r="127" spans="1:21" ht="25.9" customHeight="1" x14ac:dyDescent="0.25">
      <c r="A127" s="1021" t="s">
        <v>177</v>
      </c>
      <c r="B127" s="1021"/>
      <c r="C127" s="1021"/>
      <c r="D127" s="1021"/>
      <c r="E127" s="1021"/>
      <c r="F127" s="1021"/>
    </row>
    <row r="129" spans="1:11" s="58" customFormat="1" x14ac:dyDescent="0.25">
      <c r="A129">
        <v>3</v>
      </c>
      <c r="B129" s="896" t="s">
        <v>180</v>
      </c>
      <c r="C129" s="897"/>
      <c r="D129" s="430">
        <f>4*C125</f>
        <v>16020</v>
      </c>
      <c r="F129" s="62"/>
      <c r="G129" s="62"/>
      <c r="H129" s="428"/>
    </row>
    <row r="130" spans="1:11" s="58" customFormat="1" x14ac:dyDescent="0.25">
      <c r="A130">
        <v>4</v>
      </c>
      <c r="B130" s="889" t="s">
        <v>178</v>
      </c>
      <c r="C130" s="890"/>
      <c r="D130" s="430">
        <f>E85+E90</f>
        <v>17000</v>
      </c>
      <c r="E130" s="425"/>
      <c r="F130" s="426"/>
      <c r="G130" s="62"/>
      <c r="K130" s="160"/>
    </row>
    <row r="131" spans="1:11" s="58" customFormat="1" x14ac:dyDescent="0.25">
      <c r="A131">
        <v>5</v>
      </c>
      <c r="B131" s="889" t="s">
        <v>179</v>
      </c>
      <c r="C131" s="890"/>
      <c r="D131" s="430">
        <f>E57</f>
        <v>2802.14</v>
      </c>
      <c r="E131" s="425"/>
      <c r="F131" s="426"/>
      <c r="G131" s="428"/>
      <c r="H131" s="62"/>
      <c r="K131" s="160"/>
    </row>
    <row r="132" spans="1:11" s="58" customFormat="1" x14ac:dyDescent="0.25">
      <c r="A132">
        <v>6</v>
      </c>
      <c r="B132" s="889" t="s">
        <v>378</v>
      </c>
      <c r="C132" s="890"/>
      <c r="D132" s="431">
        <f>G57</f>
        <v>0</v>
      </c>
      <c r="E132" s="425"/>
      <c r="F132" s="426"/>
      <c r="G132" s="62"/>
      <c r="H132" s="429"/>
      <c r="K132" s="160"/>
    </row>
    <row r="133" spans="1:11" s="58" customFormat="1" x14ac:dyDescent="0.25">
      <c r="A133">
        <v>7</v>
      </c>
      <c r="B133" s="889" t="s">
        <v>176</v>
      </c>
      <c r="C133" s="890"/>
      <c r="D133" s="430">
        <f>D130+D131+D132</f>
        <v>19802.14</v>
      </c>
      <c r="E133" s="427"/>
      <c r="F133" s="426"/>
      <c r="H133" s="429"/>
    </row>
    <row r="134" spans="1:11" s="58" customFormat="1" x14ac:dyDescent="0.25">
      <c r="A134">
        <v>8</v>
      </c>
      <c r="B134" s="889" t="s">
        <v>181</v>
      </c>
      <c r="C134" s="890"/>
      <c r="D134" s="430">
        <f>E98+E99</f>
        <v>792.08</v>
      </c>
      <c r="H134" s="161"/>
      <c r="I134" s="161"/>
    </row>
    <row r="135" spans="1:11" s="58" customFormat="1" x14ac:dyDescent="0.25">
      <c r="A135">
        <v>9</v>
      </c>
      <c r="F135" s="294" t="s">
        <v>59</v>
      </c>
      <c r="H135" s="161"/>
      <c r="I135" s="161"/>
      <c r="K135" s="62"/>
    </row>
    <row r="136" spans="1:11" s="58" customFormat="1" x14ac:dyDescent="0.25">
      <c r="A136">
        <v>10</v>
      </c>
      <c r="B136" s="898" t="s">
        <v>187</v>
      </c>
      <c r="C136" s="899"/>
      <c r="D136" s="900"/>
      <c r="E136" s="59">
        <v>6.8000000000000005E-2</v>
      </c>
      <c r="F136" s="163">
        <f>IF(D133&lt;D129,D130*0.9825+D134,IF(D130&gt;D129,D129*0.9825+D130-D129+D134, D130*0.9825+D134))</f>
        <v>17511.730000000003</v>
      </c>
      <c r="H136" s="10"/>
      <c r="I136" s="162"/>
    </row>
    <row r="137" spans="1:11" s="58" customFormat="1" x14ac:dyDescent="0.25">
      <c r="A137">
        <v>11</v>
      </c>
      <c r="B137" s="898" t="s">
        <v>182</v>
      </c>
      <c r="C137" s="899"/>
      <c r="D137" s="900"/>
      <c r="E137" s="59">
        <v>6.8000000000000005E-2</v>
      </c>
      <c r="F137" s="163">
        <f>IF(D133&gt;D129,IF(D130&gt;D129,D131,IF((D129-D130)&gt;D132,(D129-D130-D132)*0.9825+D131-(D129-D130-D132),D131)),D131*0.9825)</f>
        <v>2802.14</v>
      </c>
      <c r="H137" s="162"/>
      <c r="I137" s="162"/>
      <c r="J137" s="62"/>
    </row>
    <row r="138" spans="1:11" s="58" customFormat="1" x14ac:dyDescent="0.25">
      <c r="A138">
        <v>12</v>
      </c>
      <c r="B138" s="898" t="s">
        <v>183</v>
      </c>
      <c r="C138" s="899"/>
      <c r="D138" s="900"/>
      <c r="E138" s="59">
        <v>6.8000000000000005E-2</v>
      </c>
      <c r="F138" s="163">
        <f>IF(D133&lt;D129,D132*0.9825,IF(D130&gt;D129,D132,IF((D129-D130)&gt;D132,D132*0.9825,(D129-D130)*0.9825+D132-(D129-D130))))</f>
        <v>0</v>
      </c>
      <c r="H138" s="62"/>
    </row>
    <row r="139" spans="1:11" s="58" customFormat="1" x14ac:dyDescent="0.25">
      <c r="A139">
        <v>13</v>
      </c>
      <c r="B139" s="898" t="s">
        <v>184</v>
      </c>
      <c r="C139" s="899"/>
      <c r="D139" s="900"/>
      <c r="E139" s="59">
        <v>2.9000000000000001E-2</v>
      </c>
      <c r="F139" s="163">
        <f>F136</f>
        <v>17511.730000000003</v>
      </c>
    </row>
    <row r="140" spans="1:11" s="58" customFormat="1" x14ac:dyDescent="0.25">
      <c r="A140">
        <v>14</v>
      </c>
      <c r="B140" s="898" t="s">
        <v>185</v>
      </c>
      <c r="C140" s="899"/>
      <c r="D140" s="900"/>
      <c r="E140" s="59">
        <v>2.9000000000000001E-2</v>
      </c>
      <c r="F140" s="163">
        <f>F137+F138</f>
        <v>2802.14</v>
      </c>
    </row>
    <row r="141" spans="1:11" s="58" customFormat="1" x14ac:dyDescent="0.25">
      <c r="A141">
        <v>15</v>
      </c>
      <c r="B141" s="898" t="s">
        <v>186</v>
      </c>
      <c r="C141" s="899"/>
      <c r="D141" s="900"/>
      <c r="E141" s="179">
        <f>'HEURES SUPPLEMENTAIRES '!D57</f>
        <v>0.105</v>
      </c>
      <c r="F141" s="163">
        <f>D131</f>
        <v>2802.14</v>
      </c>
    </row>
    <row r="143" spans="1:11" x14ac:dyDescent="0.25">
      <c r="A143" t="s">
        <v>705</v>
      </c>
    </row>
    <row r="144" spans="1:11" x14ac:dyDescent="0.25">
      <c r="A144" s="541">
        <v>45778</v>
      </c>
      <c r="B144" t="s">
        <v>706</v>
      </c>
    </row>
    <row r="145" spans="1:2" x14ac:dyDescent="0.25">
      <c r="A145" s="542">
        <f>IF('MASQUE DE SAISIE '!G9&lt;20,('BP FORMAT JUILLET 2023'!G20+'BP FORMAT JUILLET 2023'!G21+'BP FORMAT JUILLET 2023'!G22)*1.5,0.5*('BP FORMAT JUILLET 2023'!G20+'BP FORMAT JUILLET 2023'!G21+'BP FORMAT JUILLET 2023'!G22))</f>
        <v>10</v>
      </c>
      <c r="B145" t="s">
        <v>707</v>
      </c>
    </row>
  </sheetData>
  <mergeCells count="6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21:D121"/>
    <mergeCell ref="A19:M19"/>
    <mergeCell ref="A93:D93"/>
    <mergeCell ref="A90:D90"/>
    <mergeCell ref="B54:H54"/>
    <mergeCell ref="A84:E84"/>
    <mergeCell ref="A111:D111"/>
    <mergeCell ref="A114:D114"/>
    <mergeCell ref="A110:D110"/>
    <mergeCell ref="A118:D118"/>
    <mergeCell ref="B50:C50"/>
    <mergeCell ref="A99:D99"/>
    <mergeCell ref="A100:D100"/>
    <mergeCell ref="A104:D104"/>
    <mergeCell ref="A85:D85"/>
    <mergeCell ref="A88:D88"/>
    <mergeCell ref="A91:D91"/>
    <mergeCell ref="A92:D92"/>
    <mergeCell ref="A89:D89"/>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20:D120"/>
    <mergeCell ref="A116:D116"/>
    <mergeCell ref="B138:D138"/>
    <mergeCell ref="B139:D139"/>
    <mergeCell ref="B131:C131"/>
    <mergeCell ref="B133:C133"/>
    <mergeCell ref="B134:C134"/>
    <mergeCell ref="B136:D136"/>
    <mergeCell ref="B137:D137"/>
    <mergeCell ref="B130:C130"/>
    <mergeCell ref="B129:C129"/>
    <mergeCell ref="A127:F127"/>
    <mergeCell ref="A119:D119"/>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B40" zoomScale="110" zoomScaleNormal="110" workbookViewId="0">
      <selection activeCell="B50" sqref="A50:XFD50"/>
    </sheetView>
  </sheetViews>
  <sheetFormatPr baseColWidth="10" defaultRowHeight="15" x14ac:dyDescent="0.25"/>
  <cols>
    <col min="2" max="2" width="25.5703125" customWidth="1"/>
    <col min="3" max="3" width="22" customWidth="1"/>
    <col min="5" max="5" width="18.85546875" bestFit="1" customWidth="1"/>
    <col min="7" max="7" width="13.7109375" customWidth="1"/>
  </cols>
  <sheetData>
    <row r="1" spans="2:9" x14ac:dyDescent="0.25">
      <c r="B1" s="58" t="s">
        <v>460</v>
      </c>
    </row>
    <row r="2" spans="2:9" x14ac:dyDescent="0.25">
      <c r="B2" s="58"/>
    </row>
    <row r="3" spans="2:9" s="58" customFormat="1" x14ac:dyDescent="0.25"/>
    <row r="4" spans="2:9" s="58" customFormat="1" x14ac:dyDescent="0.25">
      <c r="B4" s="742" t="s">
        <v>461</v>
      </c>
      <c r="E4" s="58" t="s">
        <v>466</v>
      </c>
    </row>
    <row r="5" spans="2:9" s="58" customFormat="1" x14ac:dyDescent="0.25">
      <c r="B5" s="742"/>
      <c r="D5" s="469"/>
      <c r="E5" s="58" t="s">
        <v>467</v>
      </c>
    </row>
    <row r="6" spans="2:9" s="58" customFormat="1" x14ac:dyDescent="0.25"/>
    <row r="7" spans="2:9" s="58" customFormat="1" x14ac:dyDescent="0.25"/>
    <row r="8" spans="2:9" s="58" customFormat="1" x14ac:dyDescent="0.25">
      <c r="B8" s="1028" t="s">
        <v>437</v>
      </c>
      <c r="D8" s="834" t="s">
        <v>439</v>
      </c>
      <c r="E8" s="834"/>
      <c r="F8" s="834"/>
      <c r="G8" s="480">
        <f>'BP VERSION JANVIER 2023'!J33</f>
        <v>19802.14</v>
      </c>
    </row>
    <row r="9" spans="2:9" s="58" customFormat="1" ht="25.5" customHeight="1" x14ac:dyDescent="0.25">
      <c r="B9" s="1028"/>
      <c r="D9" s="476" t="s">
        <v>440</v>
      </c>
      <c r="E9" s="368"/>
      <c r="F9" s="368"/>
      <c r="G9" s="480">
        <f>-'BP VERSION JANVIER 2023'!F73</f>
        <v>-2233.6500000000005</v>
      </c>
    </row>
    <row r="10" spans="2:9" s="58" customFormat="1" ht="15" customHeight="1" x14ac:dyDescent="0.25">
      <c r="B10" s="1028"/>
      <c r="D10" s="963" t="s">
        <v>457</v>
      </c>
      <c r="E10" s="1030"/>
      <c r="F10" s="964"/>
      <c r="G10" s="480">
        <f>-'BP VERSION JANVIER 2023'!F74</f>
        <v>0</v>
      </c>
    </row>
    <row r="11" spans="2:9" s="58" customFormat="1" ht="15" customHeight="1" x14ac:dyDescent="0.25">
      <c r="B11" s="1028"/>
      <c r="D11" s="963" t="s">
        <v>55</v>
      </c>
      <c r="E11" s="1030"/>
      <c r="F11" s="964"/>
      <c r="G11" s="480">
        <f>'BP VERSION JANVIER 2023'!F75</f>
        <v>0</v>
      </c>
      <c r="I11" s="58" t="s">
        <v>468</v>
      </c>
    </row>
    <row r="12" spans="2:9" s="58" customFormat="1" ht="25.5" customHeight="1" x14ac:dyDescent="0.25">
      <c r="B12" s="1028"/>
      <c r="G12" s="480"/>
    </row>
    <row r="13" spans="2:9" s="58" customFormat="1" x14ac:dyDescent="0.25">
      <c r="B13" s="1028"/>
      <c r="D13" s="896" t="s">
        <v>441</v>
      </c>
      <c r="E13" s="1031"/>
      <c r="F13" s="897"/>
      <c r="G13" s="482">
        <f>'BP VERSION JANVIER 2023'!F77</f>
        <v>0</v>
      </c>
    </row>
    <row r="14" spans="2:9" s="58" customFormat="1" x14ac:dyDescent="0.25">
      <c r="B14" s="1028"/>
      <c r="G14" s="470">
        <f>SUM(G8:G13)</f>
        <v>17568.489999999998</v>
      </c>
      <c r="H14" s="480">
        <f>'BP VERSION JANVIER 2023'!J78</f>
        <v>17568.489999999998</v>
      </c>
      <c r="I14" s="480">
        <f>'BP FORMAT JUILLET 2023'!J83</f>
        <v>17568.489999999998</v>
      </c>
    </row>
    <row r="15" spans="2:9" s="58" customFormat="1" x14ac:dyDescent="0.25">
      <c r="B15" s="475"/>
    </row>
    <row r="16" spans="2:9" s="58" customFormat="1" x14ac:dyDescent="0.25"/>
    <row r="17" spans="2:9" s="58" customFormat="1" x14ac:dyDescent="0.25">
      <c r="B17" s="1028" t="s">
        <v>61</v>
      </c>
      <c r="D17" s="834" t="s">
        <v>439</v>
      </c>
      <c r="E17" s="834"/>
      <c r="F17" s="834"/>
      <c r="G17" s="480">
        <f>'BP VERSION JANVIER 2023'!J33</f>
        <v>19802.14</v>
      </c>
    </row>
    <row r="18" spans="2:9" s="58" customFormat="1" x14ac:dyDescent="0.25">
      <c r="B18" s="1028"/>
      <c r="D18" s="1010" t="s">
        <v>440</v>
      </c>
      <c r="E18" s="1010"/>
      <c r="F18" s="1010"/>
      <c r="G18" s="480">
        <f>-'BP VERSION JANVIER 2023'!F73</f>
        <v>-2233.6500000000005</v>
      </c>
    </row>
    <row r="19" spans="2:9" s="58" customFormat="1" x14ac:dyDescent="0.25">
      <c r="B19" s="1028"/>
      <c r="D19" s="834" t="s">
        <v>442</v>
      </c>
      <c r="E19" s="834"/>
      <c r="F19" s="834"/>
      <c r="G19" s="480">
        <f>'BP VERSION JANVIER 2023'!G38</f>
        <v>396.04</v>
      </c>
    </row>
    <row r="20" spans="2:9" s="58" customFormat="1" x14ac:dyDescent="0.25">
      <c r="B20" s="1028"/>
      <c r="D20" s="963" t="s">
        <v>791</v>
      </c>
      <c r="E20" s="1030"/>
      <c r="F20" s="964"/>
      <c r="G20" s="480">
        <f>-'BP FORMAT JUILLET 2023'!J21</f>
        <v>-2802.14</v>
      </c>
    </row>
    <row r="21" spans="2:9" s="58" customFormat="1" x14ac:dyDescent="0.25">
      <c r="B21" s="1028"/>
      <c r="D21" s="834" t="s">
        <v>443</v>
      </c>
      <c r="E21" s="834"/>
      <c r="F21" s="834"/>
      <c r="G21" s="480">
        <f>'BP FORMAT JUILLET 2023'!F66+'BP FORMAT JUILLET 2023'!F67+'BP FORMAT JUILLET 2023'!F69</f>
        <v>779.65</v>
      </c>
    </row>
    <row r="22" spans="2:9" s="58" customFormat="1" x14ac:dyDescent="0.25">
      <c r="B22" s="1028"/>
      <c r="G22" s="470">
        <f>SUM(G17:G21)</f>
        <v>15942.039999999999</v>
      </c>
      <c r="H22" s="480">
        <f>'BP VERSION JANVIER 2023'!J86</f>
        <v>15942.039999999997</v>
      </c>
      <c r="I22" s="480">
        <f>'BP FORMAT JUILLET 2023'!J84</f>
        <v>15942.039999999997</v>
      </c>
    </row>
    <row r="23" spans="2:9" s="58" customFormat="1" x14ac:dyDescent="0.25">
      <c r="B23" s="475"/>
      <c r="G23" s="429"/>
    </row>
    <row r="24" spans="2:9" s="58" customFormat="1" x14ac:dyDescent="0.25"/>
    <row r="25" spans="2:9" s="58" customFormat="1" x14ac:dyDescent="0.25">
      <c r="B25" s="1029" t="s">
        <v>444</v>
      </c>
      <c r="D25" s="834" t="s">
        <v>61</v>
      </c>
      <c r="E25" s="834"/>
      <c r="F25" s="834"/>
      <c r="G25" s="470">
        <f>'BP VERSION JANVIER 2023'!J86</f>
        <v>15942.039999999997</v>
      </c>
    </row>
    <row r="26" spans="2:9" s="58" customFormat="1" x14ac:dyDescent="0.25">
      <c r="B26" s="1029"/>
      <c r="D26" s="834" t="s">
        <v>458</v>
      </c>
      <c r="E26" s="834"/>
      <c r="F26" s="834"/>
      <c r="G26" s="477"/>
    </row>
    <row r="27" spans="2:9" s="58" customFormat="1" x14ac:dyDescent="0.25">
      <c r="B27" s="1029"/>
      <c r="D27" s="1032" t="s">
        <v>459</v>
      </c>
      <c r="E27" s="1032"/>
      <c r="F27" s="1032"/>
      <c r="G27" s="477"/>
    </row>
    <row r="28" spans="2:9" s="58" customFormat="1" x14ac:dyDescent="0.25">
      <c r="B28" s="1029"/>
      <c r="G28" s="470">
        <f>SUM(G25:G27)</f>
        <v>15942.039999999997</v>
      </c>
      <c r="H28" s="480">
        <f>'BP VERSION JANVIER 2023'!D83</f>
        <v>15942.039999999997</v>
      </c>
      <c r="I28" s="480">
        <f>'BP FORMAT JUILLET 2023'!D88</f>
        <v>15942.039999999997</v>
      </c>
    </row>
    <row r="29" spans="2:9" s="58" customFormat="1" x14ac:dyDescent="0.25"/>
    <row r="30" spans="2:9" s="58" customFormat="1" x14ac:dyDescent="0.25">
      <c r="B30" s="1028" t="s">
        <v>445</v>
      </c>
    </row>
    <row r="31" spans="2:9" s="58" customFormat="1" x14ac:dyDescent="0.25">
      <c r="B31" s="1028"/>
      <c r="D31" s="834" t="s">
        <v>442</v>
      </c>
      <c r="E31" s="834"/>
      <c r="F31" s="834"/>
      <c r="G31" s="480">
        <f>'BP VERSION JANVIER 2023'!G38</f>
        <v>396.04</v>
      </c>
    </row>
    <row r="32" spans="2:9" s="58" customFormat="1" x14ac:dyDescent="0.25">
      <c r="B32" s="1028"/>
      <c r="D32" s="834" t="s">
        <v>446</v>
      </c>
      <c r="E32" s="834"/>
      <c r="F32" s="834"/>
      <c r="G32" s="480"/>
    </row>
    <row r="33" spans="2:10" s="58" customFormat="1" x14ac:dyDescent="0.25">
      <c r="B33" s="1028"/>
      <c r="D33" s="834" t="s">
        <v>447</v>
      </c>
      <c r="E33" s="834"/>
      <c r="F33" s="834"/>
      <c r="G33" s="480">
        <f>'BP VERSION JANVIER 2023'!G41</f>
        <v>396.04</v>
      </c>
    </row>
    <row r="34" spans="2:10" s="58" customFormat="1" x14ac:dyDescent="0.25">
      <c r="G34" s="470">
        <f>SUM(G31:G33)</f>
        <v>792.08</v>
      </c>
      <c r="H34" s="477">
        <f>'BP VERSION JANVIER 2023'!C112</f>
        <v>792.08</v>
      </c>
      <c r="I34" s="477">
        <f>'BP FORMAT JUILLET 2023'!C124</f>
        <v>792.08</v>
      </c>
    </row>
    <row r="35" spans="2:10" s="58" customFormat="1" x14ac:dyDescent="0.25">
      <c r="G35" s="429"/>
      <c r="H35" s="428"/>
      <c r="I35" s="428"/>
    </row>
    <row r="36" spans="2:10" s="58" customFormat="1" x14ac:dyDescent="0.25">
      <c r="B36" s="1028" t="s">
        <v>448</v>
      </c>
      <c r="D36" s="834" t="s">
        <v>449</v>
      </c>
      <c r="E36" s="834"/>
      <c r="F36" s="834"/>
      <c r="G36" s="610">
        <f>'HEURES SUPPLEMENTAIRES '!D129*0.9825+'HEURES SUPPLEMENTAIRES '!D130-'HEURES SUPPLEMENTAIRES '!D129</f>
        <v>16719.650000000001</v>
      </c>
    </row>
    <row r="37" spans="2:10" s="58" customFormat="1" x14ac:dyDescent="0.25">
      <c r="B37" s="1028"/>
      <c r="D37" s="834" t="s">
        <v>450</v>
      </c>
      <c r="E37" s="834"/>
      <c r="F37" s="834"/>
      <c r="G37" s="483">
        <f>'BP VERSION JANVIER 2023'!G38</f>
        <v>396.04</v>
      </c>
    </row>
    <row r="38" spans="2:10" s="58" customFormat="1" x14ac:dyDescent="0.25">
      <c r="B38" s="1028"/>
      <c r="D38" s="834" t="s">
        <v>469</v>
      </c>
      <c r="E38" s="834"/>
      <c r="F38" s="834"/>
      <c r="G38" s="483">
        <f>'BP VERSION JANVIER 2023'!G41</f>
        <v>396.04</v>
      </c>
    </row>
    <row r="39" spans="2:10" s="58" customFormat="1" x14ac:dyDescent="0.25">
      <c r="B39" s="1028"/>
      <c r="G39" s="471">
        <f>SUM(G36:G38)</f>
        <v>17511.730000000003</v>
      </c>
      <c r="H39" s="480">
        <f>'BP VERSION JANVIER 2023'!C66</f>
        <v>17511.730000000003</v>
      </c>
      <c r="I39" s="480">
        <f>'BP FORMAT JUILLET 2023'!C65</f>
        <v>17511.730000000003</v>
      </c>
      <c r="J39" s="611">
        <f>G39-H39</f>
        <v>0</v>
      </c>
    </row>
    <row r="40" spans="2:10" s="58" customFormat="1" x14ac:dyDescent="0.25"/>
    <row r="41" spans="2:10" x14ac:dyDescent="0.25">
      <c r="B41" s="58"/>
      <c r="C41" s="368" t="s">
        <v>451</v>
      </c>
      <c r="D41" s="58"/>
      <c r="E41" s="368" t="s">
        <v>452</v>
      </c>
      <c r="F41" s="58"/>
      <c r="G41" s="294" t="s">
        <v>453</v>
      </c>
    </row>
    <row r="42" spans="2:10" s="58" customFormat="1" x14ac:dyDescent="0.25">
      <c r="B42" s="58" t="s">
        <v>437</v>
      </c>
      <c r="C42" s="470">
        <f>H14</f>
        <v>17568.489999999998</v>
      </c>
      <c r="E42" s="470">
        <f>I14</f>
        <v>17568.489999999998</v>
      </c>
      <c r="G42" s="470">
        <f>C42-E42</f>
        <v>0</v>
      </c>
    </row>
    <row r="43" spans="2:10" s="58" customFormat="1" x14ac:dyDescent="0.25">
      <c r="B43" s="58" t="s">
        <v>61</v>
      </c>
      <c r="C43" s="470">
        <f>'BP VERSION JANVIER 2023'!J86</f>
        <v>15942.039999999997</v>
      </c>
      <c r="E43" s="470">
        <f>I22</f>
        <v>15942.039999999997</v>
      </c>
      <c r="G43" s="470">
        <f t="shared" ref="G43:G49" si="0">C43-E43</f>
        <v>0</v>
      </c>
    </row>
    <row r="44" spans="2:10" s="58" customFormat="1" x14ac:dyDescent="0.25">
      <c r="B44" s="58" t="s">
        <v>444</v>
      </c>
      <c r="C44" s="470">
        <f>G28</f>
        <v>15942.039999999997</v>
      </c>
      <c r="E44" s="471">
        <f>I28</f>
        <v>15942.039999999997</v>
      </c>
      <c r="G44" s="470">
        <f t="shared" si="0"/>
        <v>0</v>
      </c>
    </row>
    <row r="45" spans="2:10" s="58" customFormat="1" x14ac:dyDescent="0.25">
      <c r="B45" s="58" t="s">
        <v>462</v>
      </c>
      <c r="C45" s="470">
        <f>H34</f>
        <v>792.08</v>
      </c>
      <c r="E45" s="461">
        <f>'BP FORMAT JUILLET 2023'!C124</f>
        <v>792.08</v>
      </c>
      <c r="G45" s="470">
        <f t="shared" si="0"/>
        <v>0</v>
      </c>
    </row>
    <row r="46" spans="2:10" s="58" customFormat="1" x14ac:dyDescent="0.25">
      <c r="B46" s="58" t="s">
        <v>454</v>
      </c>
      <c r="C46" s="477">
        <f>'BP VERSION JANVIER 2023'!F73</f>
        <v>2233.6500000000005</v>
      </c>
      <c r="E46" s="480">
        <f>'BP FORMAT JUILLET 2023'!F72+'BP FORMAT JUILLET 2023'!F75</f>
        <v>2233.6500000000005</v>
      </c>
      <c r="G46" s="470">
        <f t="shared" si="0"/>
        <v>0</v>
      </c>
    </row>
    <row r="47" spans="2:10" x14ac:dyDescent="0.25">
      <c r="B47" s="58" t="s">
        <v>455</v>
      </c>
      <c r="C47" s="478">
        <f>'BP VERSION JANVIER 2023'!G73</f>
        <v>7224.32</v>
      </c>
      <c r="E47" s="478">
        <f>'BP FORMAT JUILLET 2023'!G72+'BP FORMAT JUILLET 2023'!G75</f>
        <v>7224.3200000000006</v>
      </c>
      <c r="G47" s="470">
        <f t="shared" si="0"/>
        <v>0</v>
      </c>
    </row>
    <row r="48" spans="2:10" x14ac:dyDescent="0.25">
      <c r="B48" s="58" t="s">
        <v>463</v>
      </c>
      <c r="C48" s="481">
        <f>H39</f>
        <v>17511.730000000003</v>
      </c>
      <c r="E48" s="481">
        <f>I39</f>
        <v>17511.730000000003</v>
      </c>
      <c r="G48" s="470">
        <f t="shared" si="0"/>
        <v>0</v>
      </c>
    </row>
    <row r="49" spans="2:7" x14ac:dyDescent="0.25">
      <c r="B49" s="58" t="s">
        <v>456</v>
      </c>
      <c r="C49" s="478">
        <f>'BP VERSION JANVIER 2023'!G71</f>
        <v>-10</v>
      </c>
      <c r="E49" s="479">
        <f>'BP FORMAT JUILLET 2023'!G70</f>
        <v>-10</v>
      </c>
      <c r="G49" s="470">
        <f t="shared" si="0"/>
        <v>0</v>
      </c>
    </row>
    <row r="52" spans="2:7" x14ac:dyDescent="0.25">
      <c r="B52" s="58" t="s">
        <v>464</v>
      </c>
    </row>
    <row r="53" spans="2:7" x14ac:dyDescent="0.25">
      <c r="B53" s="58" t="s">
        <v>465</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42528-02F6-4BDB-804D-03AFCA0999A3}">
  <dimension ref="A1"/>
  <sheetViews>
    <sheetView topLeftCell="A17" workbookViewId="0">
      <selection activeCell="O8" sqref="O8"/>
    </sheetView>
  </sheetViews>
  <sheetFormatPr baseColWidth="10" defaultRowHeight="15" x14ac:dyDescent="0.25"/>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6D11F-D11D-4E0A-9796-B4A691290AA0}">
  <dimension ref="A2:K25"/>
  <sheetViews>
    <sheetView tabSelected="1" topLeftCell="A17" workbookViewId="0">
      <selection activeCell="D23" sqref="D23:F23"/>
    </sheetView>
  </sheetViews>
  <sheetFormatPr baseColWidth="10" defaultRowHeight="15" x14ac:dyDescent="0.25"/>
  <cols>
    <col min="2" max="6" width="13.5703125" customWidth="1"/>
  </cols>
  <sheetData>
    <row r="2" spans="1:11" ht="15.75" x14ac:dyDescent="0.25">
      <c r="B2" s="1044" t="s">
        <v>861</v>
      </c>
      <c r="C2" s="1044"/>
      <c r="D2" s="1044"/>
      <c r="E2" s="1044"/>
    </row>
    <row r="3" spans="1:11" s="183" customFormat="1" ht="15.75" x14ac:dyDescent="0.25">
      <c r="B3" s="1045" t="s">
        <v>862</v>
      </c>
      <c r="C3" s="1045"/>
      <c r="D3" s="1045"/>
      <c r="E3" s="1045"/>
      <c r="F3" s="666"/>
      <c r="G3" s="666"/>
    </row>
    <row r="4" spans="1:11" s="183" customFormat="1" ht="15.75" x14ac:dyDescent="0.25">
      <c r="B4" s="210"/>
      <c r="C4" s="210"/>
      <c r="D4" s="210"/>
      <c r="E4" s="210"/>
      <c r="F4" s="666"/>
      <c r="G4" s="666"/>
    </row>
    <row r="5" spans="1:11" s="183" customFormat="1" ht="15.75" x14ac:dyDescent="0.25">
      <c r="B5" s="183" t="s">
        <v>863</v>
      </c>
      <c r="D5" s="183">
        <v>12.02</v>
      </c>
      <c r="G5" s="666"/>
    </row>
    <row r="6" spans="1:11" s="183" customFormat="1" ht="15.75" x14ac:dyDescent="0.25">
      <c r="B6" s="183" t="s">
        <v>864</v>
      </c>
      <c r="D6" s="183">
        <v>0.37730000000000002</v>
      </c>
      <c r="E6" s="183" t="s">
        <v>865</v>
      </c>
      <c r="G6" s="666"/>
    </row>
    <row r="7" spans="1:11" s="183" customFormat="1" ht="15.75" x14ac:dyDescent="0.25">
      <c r="B7" s="666"/>
      <c r="C7" s="666"/>
      <c r="D7" s="183">
        <v>0.38129999999999997</v>
      </c>
      <c r="E7" s="183" t="s">
        <v>866</v>
      </c>
    </row>
    <row r="8" spans="1:11" s="183" customFormat="1" ht="15.75" x14ac:dyDescent="0.25">
      <c r="B8" s="666" t="s">
        <v>867</v>
      </c>
      <c r="C8" s="666"/>
      <c r="D8" s="667">
        <v>0.02</v>
      </c>
    </row>
    <row r="9" spans="1:11" s="183" customFormat="1" ht="15.75" x14ac:dyDescent="0.25">
      <c r="B9" s="666" t="s">
        <v>868</v>
      </c>
      <c r="C9" s="666"/>
      <c r="D9" s="668">
        <f>'BP VERSION JANVIER 2023'!B9</f>
        <v>40</v>
      </c>
      <c r="E9" s="687">
        <f>D9</f>
        <v>40</v>
      </c>
      <c r="F9" s="687">
        <f>E9</f>
        <v>40</v>
      </c>
    </row>
    <row r="10" spans="1:11" s="183" customFormat="1" ht="15.75" x14ac:dyDescent="0.25">
      <c r="B10" s="666"/>
      <c r="C10" s="666"/>
    </row>
    <row r="11" spans="1:11" s="183" customFormat="1" ht="15.75" x14ac:dyDescent="0.25">
      <c r="G11" s="666"/>
    </row>
    <row r="12" spans="1:11" s="58" customFormat="1" ht="24.75" customHeight="1" x14ac:dyDescent="0.25">
      <c r="A12" s="742" t="s">
        <v>869</v>
      </c>
      <c r="B12" s="742"/>
      <c r="C12" s="742"/>
      <c r="D12" s="669" t="s">
        <v>870</v>
      </c>
      <c r="E12" s="669" t="s">
        <v>155</v>
      </c>
      <c r="F12" s="670" t="s">
        <v>882</v>
      </c>
      <c r="G12" s="671"/>
      <c r="H12" s="475"/>
      <c r="I12" s="475"/>
      <c r="J12" s="475"/>
      <c r="K12" s="475"/>
    </row>
    <row r="13" spans="1:11" s="58" customFormat="1" ht="24.75" customHeight="1" x14ac:dyDescent="0.25">
      <c r="A13" s="1036" t="s">
        <v>871</v>
      </c>
      <c r="B13" s="1036"/>
      <c r="C13" s="1036"/>
      <c r="D13" s="672">
        <f>'BP VERSION JANVIER 2023'!J33</f>
        <v>19802.14</v>
      </c>
      <c r="E13" s="672"/>
      <c r="F13" s="673"/>
      <c r="G13" s="671"/>
      <c r="H13" s="674"/>
      <c r="I13" s="674"/>
      <c r="J13" s="674"/>
      <c r="K13" s="674"/>
    </row>
    <row r="14" spans="1:11" s="58" customFormat="1" ht="24.75" customHeight="1" x14ac:dyDescent="0.25">
      <c r="A14" s="1036" t="s">
        <v>872</v>
      </c>
      <c r="B14" s="1036"/>
      <c r="C14" s="1036"/>
      <c r="D14" s="539">
        <f>D13</f>
        <v>19802.14</v>
      </c>
      <c r="E14" s="539">
        <f>E13+D14</f>
        <v>19802.14</v>
      </c>
      <c r="F14" s="675">
        <f>F13+E14</f>
        <v>19802.14</v>
      </c>
      <c r="G14" s="671"/>
      <c r="H14" s="418"/>
      <c r="I14" s="418"/>
      <c r="J14" s="418"/>
      <c r="K14" s="418"/>
    </row>
    <row r="15" spans="1:11" s="58" customFormat="1" ht="24.75" customHeight="1" x14ac:dyDescent="0.25">
      <c r="A15" s="1036" t="s">
        <v>873</v>
      </c>
      <c r="B15" s="1036"/>
      <c r="C15" s="1036"/>
      <c r="D15" s="676">
        <f>'BP VERSION JANVIER 2023'!B10</f>
        <v>171.67</v>
      </c>
      <c r="E15" s="676">
        <f>'[7]CORRECTION '!F29</f>
        <v>151.66999999999999</v>
      </c>
      <c r="F15" s="677">
        <f>'[7]CORRECTION '!F46</f>
        <v>101.11</v>
      </c>
      <c r="G15" s="671"/>
      <c r="H15" s="678"/>
      <c r="I15" s="678"/>
      <c r="J15" s="678"/>
      <c r="K15" s="678"/>
    </row>
    <row r="16" spans="1:11" s="58" customFormat="1" ht="24.75" customHeight="1" x14ac:dyDescent="0.25">
      <c r="A16" s="1036" t="s">
        <v>874</v>
      </c>
      <c r="B16" s="1036"/>
      <c r="C16" s="1036"/>
      <c r="D16" s="679">
        <f>D15</f>
        <v>171.67</v>
      </c>
      <c r="E16" s="679">
        <f>E15+D16</f>
        <v>323.33999999999997</v>
      </c>
      <c r="F16" s="680">
        <f>F15+E16</f>
        <v>424.45</v>
      </c>
      <c r="G16" s="671"/>
      <c r="H16" s="678"/>
      <c r="I16" s="678"/>
      <c r="J16" s="678"/>
      <c r="K16" s="678"/>
    </row>
    <row r="17" spans="1:11" s="58" customFormat="1" ht="24.75" customHeight="1" x14ac:dyDescent="0.25">
      <c r="A17" s="1036" t="s">
        <v>875</v>
      </c>
      <c r="B17" s="1036"/>
      <c r="C17" s="1036"/>
      <c r="D17" s="679">
        <f>3*D16*$D$5</f>
        <v>6190.4201999999996</v>
      </c>
      <c r="E17" s="679">
        <f t="shared" ref="E17:F17" si="0">3*E16*$D$5</f>
        <v>11659.6404</v>
      </c>
      <c r="F17" s="679">
        <f t="shared" si="0"/>
        <v>15305.666999999998</v>
      </c>
      <c r="G17" s="671"/>
      <c r="H17" s="678"/>
      <c r="I17" s="678"/>
      <c r="J17" s="678"/>
      <c r="K17" s="678"/>
    </row>
    <row r="18" spans="1:11" s="58" customFormat="1" ht="24.75" customHeight="1" x14ac:dyDescent="0.25">
      <c r="A18" s="1037" t="s">
        <v>876</v>
      </c>
      <c r="B18" s="1038"/>
      <c r="C18" s="1039"/>
      <c r="D18" s="681">
        <f>D17/D14</f>
        <v>0.31261369730746269</v>
      </c>
      <c r="E18" s="681">
        <f t="shared" ref="E18:F18" si="1">E17/E14</f>
        <v>0.58880708852679564</v>
      </c>
      <c r="F18" s="681">
        <f t="shared" si="1"/>
        <v>0.77292994595533604</v>
      </c>
      <c r="G18" s="671"/>
      <c r="H18" s="682"/>
      <c r="I18" s="682"/>
      <c r="J18" s="682"/>
      <c r="K18" s="682"/>
    </row>
    <row r="19" spans="1:11" s="58" customFormat="1" ht="24.75" customHeight="1" x14ac:dyDescent="0.25">
      <c r="A19" s="1037">
        <v>-1</v>
      </c>
      <c r="B19" s="1038"/>
      <c r="C19" s="1039"/>
      <c r="D19" s="681">
        <f>IF((D18-1)&lt;0,0,D18-1)</f>
        <v>0</v>
      </c>
      <c r="E19" s="681">
        <f t="shared" ref="E19:F19" si="2">IF((E18-1)&lt;0,0,E18-1)</f>
        <v>0</v>
      </c>
      <c r="F19" s="681">
        <f t="shared" si="2"/>
        <v>0</v>
      </c>
      <c r="G19" s="671"/>
      <c r="H19" s="682"/>
      <c r="I19" s="682"/>
      <c r="J19" s="682"/>
      <c r="K19" s="682"/>
    </row>
    <row r="20" spans="1:11" s="58" customFormat="1" ht="24.75" customHeight="1" x14ac:dyDescent="0.25">
      <c r="A20" s="1040" t="s">
        <v>877</v>
      </c>
      <c r="B20" s="1034"/>
      <c r="C20" s="1035"/>
      <c r="D20" s="683">
        <f>+D19/2</f>
        <v>0</v>
      </c>
      <c r="E20" s="683">
        <f t="shared" ref="E20:F20" si="3">+E19/2</f>
        <v>0</v>
      </c>
      <c r="F20" s="683">
        <f t="shared" si="3"/>
        <v>0</v>
      </c>
      <c r="G20" s="671"/>
      <c r="H20" s="684"/>
      <c r="I20" s="684"/>
      <c r="J20" s="684"/>
      <c r="K20" s="684"/>
    </row>
    <row r="21" spans="1:11" s="58" customFormat="1" ht="24.75" customHeight="1" x14ac:dyDescent="0.25">
      <c r="A21" s="1041" t="s">
        <v>878</v>
      </c>
      <c r="B21" s="1042"/>
      <c r="C21" s="1043"/>
      <c r="D21" s="685">
        <f>POWER(D20,1.75)</f>
        <v>0</v>
      </c>
      <c r="E21" s="685">
        <f t="shared" ref="E21:F21" si="4">POWER(E20,1.75)</f>
        <v>0</v>
      </c>
      <c r="F21" s="685">
        <f t="shared" si="4"/>
        <v>0</v>
      </c>
      <c r="G21" s="671"/>
      <c r="H21" s="684"/>
      <c r="I21" s="684"/>
      <c r="J21" s="684"/>
      <c r="K21" s="684"/>
    </row>
    <row r="22" spans="1:11" s="58" customFormat="1" ht="27.75" customHeight="1" x14ac:dyDescent="0.25">
      <c r="A22" s="829"/>
      <c r="B22" s="829"/>
      <c r="C22" s="890"/>
      <c r="D22" s="685">
        <f>IF(D9&lt;50,$D$6*D21,$D$7*D21)</f>
        <v>0</v>
      </c>
      <c r="E22" s="685">
        <f t="shared" ref="E22:F22" si="5">IF(E9&lt;50,$D$6*E21,$D$7*E21)</f>
        <v>0</v>
      </c>
      <c r="F22" s="685">
        <f t="shared" si="5"/>
        <v>0</v>
      </c>
      <c r="G22" s="671"/>
      <c r="H22" s="678"/>
      <c r="I22" s="678"/>
      <c r="J22" s="678"/>
      <c r="K22" s="678"/>
    </row>
    <row r="23" spans="1:11" s="58" customFormat="1" ht="27.75" customHeight="1" x14ac:dyDescent="0.25">
      <c r="A23" s="1033" t="s">
        <v>879</v>
      </c>
      <c r="B23" s="1034"/>
      <c r="C23" s="1035"/>
      <c r="D23" s="685">
        <f>ROUND(IF((D22+$D$8)=0.02,0,D22+$D$8),4)</f>
        <v>0</v>
      </c>
      <c r="E23" s="685">
        <f t="shared" ref="E23:F23" si="6">ROUND(IF((E22+$D$8)=0.02,0,E22+$D$8),4)</f>
        <v>0</v>
      </c>
      <c r="F23" s="685">
        <f t="shared" si="6"/>
        <v>0</v>
      </c>
      <c r="G23" s="671"/>
      <c r="H23" s="678"/>
      <c r="I23" s="678"/>
      <c r="J23" s="678"/>
      <c r="K23" s="678"/>
    </row>
    <row r="24" spans="1:11" s="58" customFormat="1" ht="27.75" customHeight="1" x14ac:dyDescent="0.25">
      <c r="A24" s="737" t="s">
        <v>880</v>
      </c>
      <c r="B24" s="738"/>
      <c r="C24" s="739"/>
      <c r="D24" s="37">
        <f>D23*D14</f>
        <v>0</v>
      </c>
      <c r="E24" s="37">
        <f t="shared" ref="E24:F24" si="7">E23*E14</f>
        <v>0</v>
      </c>
      <c r="F24" s="37">
        <f t="shared" si="7"/>
        <v>0</v>
      </c>
      <c r="G24" s="671"/>
      <c r="H24" s="678"/>
      <c r="I24" s="678"/>
      <c r="J24" s="678"/>
      <c r="K24" s="678"/>
    </row>
    <row r="25" spans="1:11" s="58" customFormat="1" ht="24.75" customHeight="1" x14ac:dyDescent="0.25">
      <c r="A25" s="742" t="s">
        <v>881</v>
      </c>
      <c r="B25" s="742"/>
      <c r="C25" s="742"/>
      <c r="D25" s="686">
        <f>ROUND(D24,2)</f>
        <v>0</v>
      </c>
      <c r="E25" s="686">
        <f>ROUND((E24-D24),2)</f>
        <v>0</v>
      </c>
      <c r="F25" s="686">
        <f>ROUND((F24-E24),2)</f>
        <v>0</v>
      </c>
      <c r="G25" s="671"/>
      <c r="H25" s="678"/>
      <c r="I25" s="678"/>
      <c r="J25" s="678"/>
      <c r="K25" s="678"/>
    </row>
  </sheetData>
  <mergeCells count="16">
    <mergeCell ref="A15:C15"/>
    <mergeCell ref="B2:E2"/>
    <mergeCell ref="B3:E3"/>
    <mergeCell ref="A12:C12"/>
    <mergeCell ref="A13:C13"/>
    <mergeCell ref="A14:C14"/>
    <mergeCell ref="A22:C22"/>
    <mergeCell ref="A23:C23"/>
    <mergeCell ref="A24:C24"/>
    <mergeCell ref="A25:C25"/>
    <mergeCell ref="A16:C16"/>
    <mergeCell ref="A17:C17"/>
    <mergeCell ref="A18:C18"/>
    <mergeCell ref="A19:C19"/>
    <mergeCell ref="A20:C20"/>
    <mergeCell ref="A21:C21"/>
  </mergeCell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6" sqref="C6"/>
    </sheetView>
  </sheetViews>
  <sheetFormatPr baseColWidth="10" defaultColWidth="11.42578125" defaultRowHeight="15" x14ac:dyDescent="0.25"/>
  <cols>
    <col min="1" max="1" width="11.42578125" style="58"/>
    <col min="2" max="2" width="24.42578125" style="58" customWidth="1"/>
    <col min="3" max="3" width="11.42578125" style="60"/>
    <col min="4" max="4" width="22.42578125" style="60" customWidth="1"/>
    <col min="5" max="5" width="11.42578125" style="58"/>
    <col min="6" max="6" width="15.140625" style="58" customWidth="1"/>
    <col min="7" max="7" width="23" style="58" customWidth="1"/>
    <col min="8" max="16384" width="11.42578125" style="58"/>
  </cols>
  <sheetData>
    <row r="2" spans="1:9" x14ac:dyDescent="0.25">
      <c r="A2" s="737" t="s">
        <v>680</v>
      </c>
      <c r="B2" s="738"/>
      <c r="C2" s="738"/>
      <c r="D2" s="738"/>
      <c r="E2" s="738"/>
      <c r="F2" s="738"/>
      <c r="G2" s="739"/>
    </row>
    <row r="3" spans="1:9" x14ac:dyDescent="0.25">
      <c r="A3" s="61"/>
      <c r="B3" s="61"/>
      <c r="C3" s="61"/>
      <c r="D3" s="61"/>
      <c r="E3" s="61"/>
      <c r="F3" s="61"/>
      <c r="G3" s="61"/>
    </row>
    <row r="6" spans="1:9" x14ac:dyDescent="0.25">
      <c r="A6" s="742" t="s">
        <v>681</v>
      </c>
      <c r="B6" s="742"/>
      <c r="C6" s="539">
        <f>+'TR Matrice Cotisations '!E5</f>
        <v>12</v>
      </c>
    </row>
    <row r="7" spans="1:9" x14ac:dyDescent="0.25">
      <c r="C7" s="37"/>
    </row>
    <row r="8" spans="1:9" x14ac:dyDescent="0.25">
      <c r="A8" s="742" t="s">
        <v>682</v>
      </c>
      <c r="B8" s="742"/>
      <c r="C8" s="540">
        <f>+'TR Matrice Cotisations '!E7</f>
        <v>6</v>
      </c>
    </row>
    <row r="9" spans="1:9" x14ac:dyDescent="0.25">
      <c r="C9" s="37"/>
    </row>
    <row r="10" spans="1:9" x14ac:dyDescent="0.25">
      <c r="A10" s="742" t="s">
        <v>683</v>
      </c>
      <c r="B10" s="742"/>
      <c r="C10" s="540">
        <f>+'TR Matrice Cotisations '!E9</f>
        <v>22</v>
      </c>
      <c r="D10" s="1011"/>
      <c r="E10" s="1012"/>
      <c r="F10" s="1012"/>
      <c r="G10" s="1012"/>
    </row>
    <row r="12" spans="1:9" x14ac:dyDescent="0.25">
      <c r="D12" s="884" t="s">
        <v>684</v>
      </c>
      <c r="E12" s="884"/>
      <c r="F12" s="884"/>
      <c r="G12" s="884"/>
    </row>
    <row r="14" spans="1:9" ht="24" x14ac:dyDescent="0.25">
      <c r="A14" s="742" t="s">
        <v>685</v>
      </c>
      <c r="B14" s="742"/>
      <c r="C14" s="532" t="str">
        <f>IF(C8&lt;=60%*C6,"Régle respectée","Régle non respectée")</f>
        <v>Régle respectée</v>
      </c>
      <c r="D14" s="533">
        <f>IF(C8-60%*C6&lt;0,0,C8)</f>
        <v>0</v>
      </c>
      <c r="E14" s="1046" t="s">
        <v>686</v>
      </c>
      <c r="F14" s="1047"/>
      <c r="G14" s="742" t="s">
        <v>687</v>
      </c>
    </row>
    <row r="15" spans="1:9" x14ac:dyDescent="0.25">
      <c r="C15" s="61"/>
      <c r="D15" s="37"/>
      <c r="G15" s="742"/>
      <c r="H15" s="742" t="s">
        <v>688</v>
      </c>
      <c r="I15" s="742"/>
    </row>
    <row r="16" spans="1:9" ht="24" x14ac:dyDescent="0.25">
      <c r="A16" s="1046" t="s">
        <v>689</v>
      </c>
      <c r="B16" s="1046"/>
      <c r="C16" s="532" t="str">
        <f>IF(C8&gt;=50%*C6,"Régle respectée","Régle non respectée ")</f>
        <v>Régle respectée</v>
      </c>
      <c r="D16" s="533">
        <f>IF(C16="Régle respectée",0,C8)</f>
        <v>0</v>
      </c>
      <c r="E16" s="1046" t="s">
        <v>686</v>
      </c>
      <c r="F16" s="1047"/>
      <c r="G16" s="742"/>
      <c r="H16" s="742">
        <f>MAX(D14,D16,D18)</f>
        <v>0</v>
      </c>
      <c r="I16" s="742"/>
    </row>
    <row r="17" spans="1:7" x14ac:dyDescent="0.25">
      <c r="C17" s="61"/>
      <c r="D17" s="37"/>
      <c r="G17" s="742"/>
    </row>
    <row r="18" spans="1:7" ht="25.5" x14ac:dyDescent="0.25">
      <c r="A18" s="1026" t="s">
        <v>690</v>
      </c>
      <c r="B18" s="1026"/>
      <c r="C18" s="534" t="str">
        <f>IF(C8&gt;7.26,"Régle non respectée","Régle respectée ")</f>
        <v xml:space="preserve">Régle respectée </v>
      </c>
      <c r="D18" s="535">
        <f>IF(C8&lt;=7.26,0,C8-7.26)</f>
        <v>0</v>
      </c>
      <c r="E18" s="1026" t="s">
        <v>691</v>
      </c>
      <c r="F18" s="1048"/>
      <c r="G18" s="742"/>
    </row>
    <row r="20" spans="1:7" hidden="1" x14ac:dyDescent="0.25"/>
    <row r="21" spans="1:7" x14ac:dyDescent="0.25">
      <c r="A21" s="742" t="s">
        <v>692</v>
      </c>
      <c r="B21" s="742"/>
      <c r="C21" s="37">
        <f>C6-C8</f>
        <v>6</v>
      </c>
    </row>
    <row r="23" spans="1:7" x14ac:dyDescent="0.25">
      <c r="A23" s="742" t="s">
        <v>693</v>
      </c>
      <c r="B23" s="742"/>
      <c r="C23" s="37">
        <f>C10</f>
        <v>22</v>
      </c>
    </row>
    <row r="25" spans="1:7" x14ac:dyDescent="0.25">
      <c r="A25" s="742" t="s">
        <v>694</v>
      </c>
      <c r="B25" s="742"/>
      <c r="C25" s="37">
        <f>C8*C23</f>
        <v>132</v>
      </c>
    </row>
    <row r="27" spans="1:7" x14ac:dyDescent="0.25">
      <c r="A27" s="742" t="s">
        <v>695</v>
      </c>
      <c r="B27" s="742"/>
      <c r="C27" s="37">
        <f>C21*C23</f>
        <v>132</v>
      </c>
    </row>
    <row r="29" spans="1:7" x14ac:dyDescent="0.25">
      <c r="A29" s="1046" t="s">
        <v>696</v>
      </c>
      <c r="B29" s="1046"/>
      <c r="C29" s="1049">
        <f>MAX(D14,D16,D18)*C23</f>
        <v>0</v>
      </c>
    </row>
    <row r="30" spans="1:7" x14ac:dyDescent="0.25">
      <c r="A30" s="1046"/>
      <c r="B30" s="1046"/>
      <c r="C30" s="1050"/>
    </row>
    <row r="31" spans="1:7" x14ac:dyDescent="0.25">
      <c r="A31" s="1046"/>
      <c r="B31" s="1046"/>
      <c r="C31" s="1050"/>
    </row>
    <row r="32" spans="1:7" hidden="1" x14ac:dyDescent="0.25">
      <c r="A32" s="1046"/>
      <c r="B32" s="1046"/>
      <c r="C32" s="1051"/>
    </row>
    <row r="34" spans="3:3" x14ac:dyDescent="0.25">
      <c r="C34" s="729"/>
    </row>
    <row r="35" spans="3:3" x14ac:dyDescent="0.25">
      <c r="C35" s="729"/>
    </row>
    <row r="36" spans="3:3" x14ac:dyDescent="0.25">
      <c r="C36" s="729"/>
    </row>
    <row r="37" spans="3:3" x14ac:dyDescent="0.25">
      <c r="C37" s="729"/>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5" sqref="E5"/>
    </sheetView>
  </sheetViews>
  <sheetFormatPr baseColWidth="10" defaultColWidth="11.42578125" defaultRowHeight="15.75" x14ac:dyDescent="0.25"/>
  <cols>
    <col min="1" max="2" width="11.42578125" style="183"/>
    <col min="3" max="3" width="37.28515625" style="183" customWidth="1"/>
    <col min="4" max="4" width="11.42578125" style="183"/>
    <col min="5" max="5" width="15.28515625" style="183" customWidth="1"/>
    <col min="6" max="6" width="11.42578125" style="183"/>
    <col min="7" max="8" width="23" style="183" customWidth="1"/>
    <col min="9" max="9" width="16.140625" style="183" customWidth="1"/>
    <col min="10" max="16384" width="11.42578125" style="183"/>
  </cols>
  <sheetData>
    <row r="1" spans="2:9" x14ac:dyDescent="0.25">
      <c r="B1" s="790" t="s">
        <v>697</v>
      </c>
      <c r="C1" s="1052"/>
      <c r="D1" s="1052"/>
      <c r="E1" s="1052"/>
      <c r="F1" s="1052"/>
      <c r="G1" s="1052"/>
      <c r="H1" s="1052"/>
      <c r="I1" s="791"/>
    </row>
    <row r="3" spans="2:9" hidden="1" x14ac:dyDescent="0.25"/>
    <row r="4" spans="2:9" x14ac:dyDescent="0.25">
      <c r="E4" s="185"/>
      <c r="G4" s="185"/>
    </row>
    <row r="5" spans="2:9" x14ac:dyDescent="0.25">
      <c r="B5" s="1045" t="s">
        <v>681</v>
      </c>
      <c r="C5" s="1045"/>
      <c r="E5" s="536">
        <f>+'MASQUE DE SAISIE '!E48+'MASQUE DE SAISIE '!E49</f>
        <v>12</v>
      </c>
      <c r="G5" s="185"/>
    </row>
    <row r="6" spans="2:9" x14ac:dyDescent="0.25">
      <c r="E6" s="210"/>
      <c r="G6" s="185"/>
    </row>
    <row r="7" spans="2:9" x14ac:dyDescent="0.25">
      <c r="B7" s="1045" t="s">
        <v>682</v>
      </c>
      <c r="C7" s="1045"/>
      <c r="E7" s="537">
        <f>+'MASQUE DE SAISIE '!E49</f>
        <v>6</v>
      </c>
      <c r="G7" s="185"/>
    </row>
    <row r="8" spans="2:9" x14ac:dyDescent="0.25">
      <c r="E8" s="210"/>
      <c r="G8" s="185"/>
    </row>
    <row r="9" spans="2:9" x14ac:dyDescent="0.25">
      <c r="B9" s="1045" t="s">
        <v>683</v>
      </c>
      <c r="C9" s="1045"/>
      <c r="E9" s="538">
        <v>22</v>
      </c>
      <c r="G9" s="1053" t="s">
        <v>698</v>
      </c>
      <c r="H9" s="1053"/>
    </row>
    <row r="10" spans="2:9" x14ac:dyDescent="0.25">
      <c r="E10" s="185"/>
      <c r="G10" s="185"/>
    </row>
    <row r="11" spans="2:9" ht="63" x14ac:dyDescent="0.25">
      <c r="E11" s="185"/>
      <c r="G11" s="38" t="s">
        <v>699</v>
      </c>
      <c r="H11" s="38" t="s">
        <v>700</v>
      </c>
    </row>
    <row r="12" spans="2:9" x14ac:dyDescent="0.25">
      <c r="E12" s="185"/>
      <c r="G12" s="185"/>
    </row>
    <row r="13" spans="2:9" ht="31.5" x14ac:dyDescent="0.25">
      <c r="B13" s="1045" t="s">
        <v>701</v>
      </c>
      <c r="C13" s="1045"/>
      <c r="E13" s="283" t="str">
        <f>IF(E7&lt;=60%*E5,"Régle respectée","Régle non respectée")</f>
        <v>Régle respectée</v>
      </c>
      <c r="G13" s="38">
        <f>IF(E7-60%*E5&lt;0,0,E7-60%*E5)</f>
        <v>0</v>
      </c>
      <c r="H13" s="1045">
        <f>MAX(G13,G15,G17)</f>
        <v>0</v>
      </c>
    </row>
    <row r="14" spans="2:9" x14ac:dyDescent="0.25">
      <c r="E14" s="210"/>
      <c r="G14" s="38"/>
      <c r="H14" s="1045"/>
    </row>
    <row r="15" spans="2:9" ht="31.5" x14ac:dyDescent="0.25">
      <c r="B15" s="1045" t="s">
        <v>702</v>
      </c>
      <c r="C15" s="1045"/>
      <c r="E15" s="283" t="str">
        <f>IF(E7&gt;=50%*E5,"Régle respectée","Régle non respectée ")</f>
        <v>Régle respectée</v>
      </c>
      <c r="G15" s="38">
        <f>IF(E15="Régle respectée",0,50%*E5-E7)</f>
        <v>0</v>
      </c>
      <c r="H15" s="1045"/>
    </row>
    <row r="16" spans="2:9" x14ac:dyDescent="0.25">
      <c r="E16" s="210"/>
      <c r="G16" s="38"/>
      <c r="H16" s="1045"/>
    </row>
    <row r="17" spans="2:8" ht="31.5" x14ac:dyDescent="0.25">
      <c r="B17" s="1045" t="s">
        <v>703</v>
      </c>
      <c r="C17" s="1045"/>
      <c r="E17" s="283" t="str">
        <f>IF(E7&gt;7.26,"Régle non respectée","Régle respectée ")</f>
        <v xml:space="preserve">Régle respectée </v>
      </c>
      <c r="G17" s="38">
        <f>IF(E7&lt;=7.26,0,E7-7.26)</f>
        <v>0</v>
      </c>
      <c r="H17" s="1045"/>
    </row>
    <row r="18" spans="2:8" x14ac:dyDescent="0.25">
      <c r="E18" s="185"/>
      <c r="G18" s="185"/>
    </row>
    <row r="19" spans="2:8" x14ac:dyDescent="0.25">
      <c r="B19" s="1045" t="s">
        <v>692</v>
      </c>
      <c r="C19" s="1045"/>
      <c r="E19" s="38">
        <f>E5-E7</f>
        <v>6</v>
      </c>
      <c r="G19" s="185"/>
    </row>
    <row r="20" spans="2:8" x14ac:dyDescent="0.25">
      <c r="E20" s="185"/>
      <c r="G20" s="185"/>
    </row>
    <row r="21" spans="2:8" x14ac:dyDescent="0.25">
      <c r="B21" s="1045" t="s">
        <v>693</v>
      </c>
      <c r="C21" s="1045"/>
      <c r="E21" s="38">
        <f>E9</f>
        <v>22</v>
      </c>
      <c r="G21" s="185"/>
    </row>
    <row r="22" spans="2:8" x14ac:dyDescent="0.25">
      <c r="E22" s="185"/>
      <c r="G22" s="185"/>
    </row>
    <row r="23" spans="2:8" x14ac:dyDescent="0.25">
      <c r="B23" s="1045" t="s">
        <v>694</v>
      </c>
      <c r="C23" s="1045"/>
      <c r="E23" s="38">
        <f>E7*E21</f>
        <v>132</v>
      </c>
      <c r="G23" s="185"/>
    </row>
    <row r="24" spans="2:8" x14ac:dyDescent="0.25">
      <c r="E24" s="185"/>
      <c r="G24" s="185"/>
    </row>
    <row r="25" spans="2:8" x14ac:dyDescent="0.25">
      <c r="B25" s="1045" t="s">
        <v>695</v>
      </c>
      <c r="C25" s="1045"/>
      <c r="E25" s="38">
        <f>E19*E21</f>
        <v>132</v>
      </c>
      <c r="G25" s="185"/>
    </row>
    <row r="26" spans="2:8" x14ac:dyDescent="0.25">
      <c r="E26" s="185"/>
      <c r="G26" s="185"/>
    </row>
    <row r="27" spans="2:8" x14ac:dyDescent="0.25">
      <c r="B27" s="1045" t="s">
        <v>704</v>
      </c>
      <c r="C27" s="1045"/>
      <c r="E27" s="185"/>
      <c r="G27" s="185"/>
    </row>
    <row r="28" spans="2:8" x14ac:dyDescent="0.25">
      <c r="B28" s="1045"/>
      <c r="C28" s="1045"/>
      <c r="E28" s="1045">
        <f>MAX(G17,G15,G13)*E21</f>
        <v>0</v>
      </c>
      <c r="G28" s="185"/>
    </row>
    <row r="29" spans="2:8" x14ac:dyDescent="0.25">
      <c r="B29" s="1045"/>
      <c r="C29" s="1045"/>
      <c r="E29" s="1045"/>
      <c r="G29" s="185"/>
    </row>
    <row r="30" spans="2:8" x14ac:dyDescent="0.25">
      <c r="B30" s="1045"/>
      <c r="C30" s="1045"/>
      <c r="E30" s="185"/>
      <c r="G30" s="185"/>
    </row>
    <row r="31" spans="2:8" x14ac:dyDescent="0.25">
      <c r="E31" s="185"/>
      <c r="G31" s="185"/>
    </row>
    <row r="32" spans="2:8" x14ac:dyDescent="0.25">
      <c r="E32" s="1054"/>
      <c r="G32" s="185"/>
    </row>
    <row r="33" spans="5:7" x14ac:dyDescent="0.25">
      <c r="E33" s="1054"/>
      <c r="G33" s="185"/>
    </row>
    <row r="34" spans="5:7" x14ac:dyDescent="0.25">
      <c r="E34" s="1054"/>
      <c r="G34" s="185"/>
    </row>
    <row r="35" spans="5:7" x14ac:dyDescent="0.25">
      <c r="E35" s="1054"/>
      <c r="G35" s="185"/>
    </row>
    <row r="36" spans="5:7" x14ac:dyDescent="0.25">
      <c r="E36" s="185"/>
      <c r="G36" s="185"/>
    </row>
    <row r="37" spans="5:7" x14ac:dyDescent="0.25">
      <c r="E37" s="185"/>
      <c r="G37" s="185"/>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3" customWidth="1"/>
    <col min="2" max="3" width="25.7109375" style="183" customWidth="1"/>
    <col min="4" max="4" width="11.42578125" style="183"/>
    <col min="5" max="5" width="11.85546875" style="184" bestFit="1" customWidth="1"/>
    <col min="6" max="6" width="17.85546875" style="183" bestFit="1" customWidth="1"/>
    <col min="7" max="7" width="18.85546875" style="183" bestFit="1" customWidth="1"/>
    <col min="8" max="16384" width="11.42578125" style="183"/>
  </cols>
  <sheetData>
    <row r="1" spans="2:11" ht="20.25" customHeight="1" x14ac:dyDescent="0.25">
      <c r="B1" s="1055" t="s">
        <v>781</v>
      </c>
      <c r="C1" s="1055"/>
      <c r="D1" s="1055"/>
      <c r="E1" s="1055"/>
      <c r="F1" s="1055"/>
      <c r="G1" s="1055"/>
      <c r="H1" s="1055"/>
    </row>
    <row r="2" spans="2:11" ht="14.25" customHeight="1" x14ac:dyDescent="0.25"/>
    <row r="3" spans="2:11" ht="14.25" customHeight="1" x14ac:dyDescent="0.25"/>
    <row r="5" spans="2:11" ht="14.25" customHeight="1" x14ac:dyDescent="0.25">
      <c r="G5" s="183" t="s">
        <v>779</v>
      </c>
      <c r="K5" s="593">
        <v>45778</v>
      </c>
    </row>
    <row r="6" spans="2:11" ht="14.25" customHeight="1" x14ac:dyDescent="0.25">
      <c r="B6" s="38" t="s">
        <v>95</v>
      </c>
      <c r="C6" s="38" t="s">
        <v>96</v>
      </c>
      <c r="D6" s="38" t="s">
        <v>97</v>
      </c>
      <c r="E6" s="38"/>
      <c r="G6" s="183" t="s">
        <v>780</v>
      </c>
      <c r="K6" s="186"/>
    </row>
    <row r="7" spans="2:11" ht="14.25" customHeight="1" x14ac:dyDescent="0.25">
      <c r="B7" s="488">
        <v>0</v>
      </c>
      <c r="C7" s="488">
        <f>IF('BP FORMAT JUILLET 2023'!$H$10&lt;$K$5,'TAUX NEUTRE JANVIER  '!C7,'TAUX NEUTRE MAI '!C7)</f>
        <v>1620</v>
      </c>
      <c r="D7" s="488">
        <v>0</v>
      </c>
      <c r="E7" s="489">
        <f t="shared" ref="E7:E26" si="0" xml:space="preserve"> IF($H$11&gt;=B7,IF($H$11&lt;C7,D7,0),0)</f>
        <v>0</v>
      </c>
    </row>
    <row r="8" spans="2:11" ht="14.25" customHeight="1" x14ac:dyDescent="0.25">
      <c r="B8" s="488">
        <f>C7</f>
        <v>1620</v>
      </c>
      <c r="C8" s="488">
        <f>IF('BP FORMAT JUILLET 2023'!$H$10&lt;$K$5,'TAUX NEUTRE JANVIER  '!C8,'TAUX NEUTRE MAI '!C8)</f>
        <v>1683</v>
      </c>
      <c r="D8" s="414">
        <v>5.0000000000000001E-3</v>
      </c>
      <c r="E8" s="414">
        <f t="shared" si="0"/>
        <v>0</v>
      </c>
    </row>
    <row r="9" spans="2:11" ht="14.25" customHeight="1" x14ac:dyDescent="0.25">
      <c r="B9" s="488">
        <f t="shared" ref="B9:B26" si="1">C8</f>
        <v>1683</v>
      </c>
      <c r="C9" s="488">
        <f>IF('BP FORMAT JUILLET 2023'!$H$10&lt;$K$5,'TAUX NEUTRE JANVIER  '!C9,'TAUX NEUTRE MAI '!C9)</f>
        <v>1791</v>
      </c>
      <c r="D9" s="414">
        <v>1.2999999999999999E-2</v>
      </c>
      <c r="E9" s="414">
        <f t="shared" si="0"/>
        <v>0</v>
      </c>
    </row>
    <row r="10" spans="2:11" ht="14.25" customHeight="1" x14ac:dyDescent="0.25">
      <c r="B10" s="488">
        <f t="shared" si="1"/>
        <v>1791</v>
      </c>
      <c r="C10" s="488">
        <f>IF('BP FORMAT JUILLET 2023'!$H$10&lt;$K$5,'TAUX NEUTRE JANVIER  '!C10,'TAUX NEUTRE MAI '!C10)</f>
        <v>1911</v>
      </c>
      <c r="D10" s="414">
        <v>2.1000000000000001E-2</v>
      </c>
      <c r="E10" s="414">
        <f t="shared" si="0"/>
        <v>0</v>
      </c>
      <c r="G10" s="1056" t="s">
        <v>194</v>
      </c>
      <c r="H10" s="1056"/>
    </row>
    <row r="11" spans="2:11" ht="14.25" customHeight="1" x14ac:dyDescent="0.25">
      <c r="B11" s="488">
        <f t="shared" si="1"/>
        <v>1911</v>
      </c>
      <c r="C11" s="488">
        <f>IF('BP FORMAT JUILLET 2023'!$H$10&lt;$K$5,'TAUX NEUTRE JANVIER  '!C11,'TAUX NEUTRE MAI '!C11)</f>
        <v>2042</v>
      </c>
      <c r="D11" s="414">
        <v>2.9000000000000001E-2</v>
      </c>
      <c r="E11" s="414">
        <f t="shared" si="0"/>
        <v>0</v>
      </c>
      <c r="G11" s="191" t="s">
        <v>93</v>
      </c>
      <c r="H11" s="192">
        <f>'BP FORMAT JUILLET 2023'!D88</f>
        <v>15942.039999999997</v>
      </c>
    </row>
    <row r="12" spans="2:11" ht="14.25" customHeight="1" x14ac:dyDescent="0.25">
      <c r="B12" s="488">
        <f t="shared" si="1"/>
        <v>2042</v>
      </c>
      <c r="C12" s="488">
        <f>IF('BP FORMAT JUILLET 2023'!$H$10&lt;$K$5,'TAUX NEUTRE JANVIER  '!C12,'TAUX NEUTRE MAI '!C12)</f>
        <v>2151</v>
      </c>
      <c r="D12" s="414">
        <v>3.5000000000000003E-2</v>
      </c>
      <c r="E12" s="414">
        <f t="shared" si="0"/>
        <v>0</v>
      </c>
      <c r="G12" s="191" t="s">
        <v>94</v>
      </c>
      <c r="H12" s="193">
        <f>E27</f>
        <v>0.28000000000000003</v>
      </c>
    </row>
    <row r="13" spans="2:11" ht="14.25" customHeight="1" x14ac:dyDescent="0.25">
      <c r="B13" s="488">
        <f t="shared" si="1"/>
        <v>2151</v>
      </c>
      <c r="C13" s="488">
        <f>IF('BP FORMAT JUILLET 2023'!$H$10&lt;$K$5,'TAUX NEUTRE JANVIER  '!C13,'TAUX NEUTRE MAI '!C13)</f>
        <v>2294</v>
      </c>
      <c r="D13" s="414">
        <v>4.1000000000000002E-2</v>
      </c>
      <c r="E13" s="414">
        <f t="shared" si="0"/>
        <v>0</v>
      </c>
    </row>
    <row r="14" spans="2:11" ht="14.25" customHeight="1" x14ac:dyDescent="0.25">
      <c r="B14" s="488">
        <f t="shared" si="1"/>
        <v>2294</v>
      </c>
      <c r="C14" s="488">
        <f>IF('BP FORMAT JUILLET 2023'!$H$10&lt;$K$5,'TAUX NEUTRE JANVIER  '!C14,'TAUX NEUTRE MAI '!C14)</f>
        <v>2714</v>
      </c>
      <c r="D14" s="414">
        <v>5.2999999999999999E-2</v>
      </c>
      <c r="E14" s="414">
        <f t="shared" si="0"/>
        <v>0</v>
      </c>
    </row>
    <row r="15" spans="2:11" ht="14.25" customHeight="1" x14ac:dyDescent="0.25">
      <c r="B15" s="488">
        <f t="shared" si="1"/>
        <v>2714</v>
      </c>
      <c r="C15" s="488">
        <f>IF('BP FORMAT JUILLET 2023'!$H$10&lt;$K$5,'TAUX NEUTRE JANVIER  '!C15,'TAUX NEUTRE MAI '!C15)</f>
        <v>3107</v>
      </c>
      <c r="D15" s="414">
        <v>7.4999999999999997E-2</v>
      </c>
      <c r="E15" s="414">
        <f t="shared" si="0"/>
        <v>0</v>
      </c>
    </row>
    <row r="16" spans="2:11" ht="14.25" customHeight="1" x14ac:dyDescent="0.25">
      <c r="B16" s="488">
        <f t="shared" si="1"/>
        <v>3107</v>
      </c>
      <c r="C16" s="488">
        <f>IF('BP FORMAT JUILLET 2023'!$H$10&lt;$K$5,'TAUX NEUTRE JANVIER  '!C16,'TAUX NEUTRE MAI '!C16)</f>
        <v>3539</v>
      </c>
      <c r="D16" s="414">
        <v>9.9000000000000005E-2</v>
      </c>
      <c r="E16" s="414">
        <f t="shared" si="0"/>
        <v>0</v>
      </c>
    </row>
    <row r="17" spans="2:11" ht="14.25" customHeight="1" x14ac:dyDescent="0.25">
      <c r="B17" s="488">
        <f t="shared" si="1"/>
        <v>3539</v>
      </c>
      <c r="C17" s="488">
        <f>IF('BP FORMAT JUILLET 2023'!$H$10&lt;$K$5,'TAUX NEUTRE JANVIER  '!C17,'TAUX NEUTRE MAI '!C17)</f>
        <v>3983</v>
      </c>
      <c r="D17" s="414">
        <v>0.11899999999999999</v>
      </c>
      <c r="E17" s="414">
        <f t="shared" si="0"/>
        <v>0</v>
      </c>
    </row>
    <row r="18" spans="2:11" ht="14.25" customHeight="1" x14ac:dyDescent="0.25">
      <c r="B18" s="488">
        <f t="shared" si="1"/>
        <v>3983</v>
      </c>
      <c r="C18" s="488">
        <f>IF('BP FORMAT JUILLET 2023'!$H$10&lt;$K$5,'TAUX NEUTRE JANVIER  '!C18,'TAUX NEUTRE MAI '!C18)</f>
        <v>4648</v>
      </c>
      <c r="D18" s="414">
        <v>0.13800000000000001</v>
      </c>
      <c r="E18" s="414">
        <f t="shared" si="0"/>
        <v>0</v>
      </c>
    </row>
    <row r="19" spans="2:11" ht="14.25" customHeight="1" x14ac:dyDescent="0.25">
      <c r="B19" s="488">
        <f t="shared" si="1"/>
        <v>4648</v>
      </c>
      <c r="C19" s="488">
        <f>IF('BP FORMAT JUILLET 2023'!$H$10&lt;$K$5,'TAUX NEUTRE JANVIER  '!C19,'TAUX NEUTRE MAI '!C19)</f>
        <v>5574</v>
      </c>
      <c r="D19" s="414">
        <v>0.158</v>
      </c>
      <c r="E19" s="414">
        <f t="shared" si="0"/>
        <v>0</v>
      </c>
    </row>
    <row r="20" spans="2:11" ht="14.25" customHeight="1" x14ac:dyDescent="0.25">
      <c r="B20" s="488">
        <f t="shared" si="1"/>
        <v>5574</v>
      </c>
      <c r="C20" s="488">
        <f>IF('BP FORMAT JUILLET 2023'!$H$10&lt;$K$5,'TAUX NEUTRE JANVIER  '!C20,'TAUX NEUTRE MAI '!C20)</f>
        <v>6974</v>
      </c>
      <c r="D20" s="414">
        <v>0.17899999999999999</v>
      </c>
      <c r="E20" s="414">
        <f t="shared" si="0"/>
        <v>0</v>
      </c>
    </row>
    <row r="21" spans="2:11" ht="14.25" customHeight="1" x14ac:dyDescent="0.25">
      <c r="B21" s="488">
        <f t="shared" si="1"/>
        <v>6974</v>
      </c>
      <c r="C21" s="488">
        <f>IF('BP FORMAT JUILLET 2023'!$H$10&lt;$K$5,'TAUX NEUTRE JANVIER  '!C21,'TAUX NEUTRE MAI '!C21)</f>
        <v>8711</v>
      </c>
      <c r="D21" s="414">
        <v>0.2</v>
      </c>
      <c r="E21" s="414">
        <f t="shared" si="0"/>
        <v>0</v>
      </c>
    </row>
    <row r="22" spans="2:11" ht="14.25" customHeight="1" x14ac:dyDescent="0.25">
      <c r="B22" s="488">
        <f t="shared" si="1"/>
        <v>8711</v>
      </c>
      <c r="C22" s="488">
        <f>IF('BP FORMAT JUILLET 2023'!$H$10&lt;$K$5,'TAUX NEUTRE JANVIER  '!C22,'TAUX NEUTRE MAI '!C22)</f>
        <v>12091</v>
      </c>
      <c r="D22" s="414">
        <v>0.24</v>
      </c>
      <c r="E22" s="414">
        <f t="shared" si="0"/>
        <v>0</v>
      </c>
    </row>
    <row r="23" spans="2:11" ht="14.25" customHeight="1" x14ac:dyDescent="0.25">
      <c r="B23" s="488">
        <f t="shared" si="1"/>
        <v>12091</v>
      </c>
      <c r="C23" s="488">
        <f>IF('BP FORMAT JUILLET 2023'!$H$10&lt;$K$5,'TAUX NEUTRE JANVIER  '!C23,'TAUX NEUTRE MAI '!C23)</f>
        <v>16376</v>
      </c>
      <c r="D23" s="414">
        <v>0.28000000000000003</v>
      </c>
      <c r="E23" s="414">
        <f t="shared" si="0"/>
        <v>0.28000000000000003</v>
      </c>
    </row>
    <row r="24" spans="2:11" ht="14.25" customHeight="1" x14ac:dyDescent="0.25">
      <c r="B24" s="488">
        <f t="shared" si="1"/>
        <v>16376</v>
      </c>
      <c r="C24" s="488">
        <f>IF('BP FORMAT JUILLET 2023'!$H$10&lt;$K$5,'TAUX NEUTRE JANVIER  '!C24,'TAUX NEUTRE MAI '!C24)</f>
        <v>25706</v>
      </c>
      <c r="D24" s="414">
        <v>0.33</v>
      </c>
      <c r="E24" s="414">
        <f t="shared" si="0"/>
        <v>0</v>
      </c>
    </row>
    <row r="25" spans="2:11" ht="14.25" customHeight="1" x14ac:dyDescent="0.25">
      <c r="B25" s="488">
        <f t="shared" si="1"/>
        <v>25706</v>
      </c>
      <c r="C25" s="488">
        <f>IF('BP FORMAT JUILLET 2023'!$H$10&lt;$K$5,'TAUX NEUTRE JANVIER  '!C25,'TAUX NEUTRE MAI '!C25)</f>
        <v>55062</v>
      </c>
      <c r="D25" s="414">
        <v>0.38</v>
      </c>
      <c r="E25" s="414">
        <f t="shared" si="0"/>
        <v>0</v>
      </c>
    </row>
    <row r="26" spans="2:11" ht="14.25" customHeight="1" x14ac:dyDescent="0.25">
      <c r="B26" s="488">
        <f t="shared" si="1"/>
        <v>55062</v>
      </c>
      <c r="C26" s="488">
        <f>IF('BP FORMAT JUILLET 2023'!$H$10&lt;$K$5,'TAUX NEUTRE JANVIER  '!C26,'TAUX NEUTRE MAI '!C26)</f>
        <v>0</v>
      </c>
      <c r="D26" s="414">
        <v>0.43</v>
      </c>
      <c r="E26" s="414">
        <f t="shared" si="0"/>
        <v>0</v>
      </c>
    </row>
    <row r="27" spans="2:11" ht="14.25" customHeight="1" x14ac:dyDescent="0.25">
      <c r="B27" s="185"/>
      <c r="E27" s="190">
        <f>SUM(E7:E26)</f>
        <v>0.28000000000000003</v>
      </c>
    </row>
    <row r="28" spans="2:11" ht="18" customHeight="1" x14ac:dyDescent="0.25"/>
    <row r="29" spans="2:11" ht="14.25" hidden="1" customHeight="1" x14ac:dyDescent="0.25">
      <c r="J29" s="1057"/>
      <c r="K29" s="1057"/>
    </row>
    <row r="30" spans="2:11" ht="14.25" hidden="1" customHeight="1" x14ac:dyDescent="0.25">
      <c r="B30" s="38" t="s">
        <v>95</v>
      </c>
      <c r="C30" s="38" t="s">
        <v>96</v>
      </c>
      <c r="D30" s="38" t="s">
        <v>97</v>
      </c>
      <c r="E30" s="38"/>
      <c r="K30" s="195"/>
    </row>
    <row r="31" spans="2:11" ht="14.25" hidden="1" customHeight="1" x14ac:dyDescent="0.25">
      <c r="B31" s="187">
        <v>0</v>
      </c>
      <c r="C31" s="187">
        <v>1440</v>
      </c>
      <c r="D31" s="187">
        <v>0</v>
      </c>
      <c r="E31" s="188">
        <f t="shared" ref="E31:E50" si="2" xml:space="preserve"> IF($G$34&gt;=B31,IF($G$34&lt;C31,D31,0),0)</f>
        <v>0</v>
      </c>
      <c r="K31" s="196"/>
    </row>
    <row r="32" spans="2:11" ht="14.25" hidden="1" customHeight="1" x14ac:dyDescent="0.25">
      <c r="B32" s="187">
        <f>C31</f>
        <v>1440</v>
      </c>
      <c r="C32" s="187">
        <v>1496</v>
      </c>
      <c r="D32" s="189">
        <v>5.0000000000000001E-3</v>
      </c>
      <c r="E32" s="190">
        <f t="shared" si="2"/>
        <v>0</v>
      </c>
      <c r="F32" s="197"/>
    </row>
    <row r="33" spans="2:7" ht="14.25" hidden="1" customHeight="1" x14ac:dyDescent="0.25">
      <c r="B33" s="187">
        <f t="shared" ref="B33:B50" si="3">C32</f>
        <v>1496</v>
      </c>
      <c r="C33" s="187">
        <v>1592</v>
      </c>
      <c r="D33" s="189">
        <v>1.2999999999999999E-2</v>
      </c>
      <c r="E33" s="190">
        <f t="shared" si="2"/>
        <v>0</v>
      </c>
      <c r="F33" s="197"/>
      <c r="G33" s="191" t="s">
        <v>195</v>
      </c>
    </row>
    <row r="34" spans="2:7" ht="14.25" hidden="1" customHeight="1" x14ac:dyDescent="0.25">
      <c r="B34" s="187">
        <f t="shared" si="3"/>
        <v>1592</v>
      </c>
      <c r="C34" s="187">
        <v>1699</v>
      </c>
      <c r="D34" s="190">
        <v>2.1000000000000001E-2</v>
      </c>
      <c r="E34" s="190">
        <f t="shared" si="2"/>
        <v>0</v>
      </c>
      <c r="F34" s="197"/>
      <c r="G34" s="192"/>
    </row>
    <row r="35" spans="2:7" ht="14.25" hidden="1" customHeight="1" x14ac:dyDescent="0.25">
      <c r="B35" s="187">
        <f t="shared" si="3"/>
        <v>1699</v>
      </c>
      <c r="C35" s="187">
        <v>1816</v>
      </c>
      <c r="D35" s="190">
        <v>2.9000000000000001E-2</v>
      </c>
      <c r="E35" s="190">
        <f t="shared" si="2"/>
        <v>0</v>
      </c>
      <c r="F35" s="197"/>
      <c r="G35" s="193"/>
    </row>
    <row r="36" spans="2:7" ht="14.25" hidden="1" customHeight="1" x14ac:dyDescent="0.25">
      <c r="B36" s="187">
        <f t="shared" si="3"/>
        <v>1816</v>
      </c>
      <c r="C36" s="187">
        <v>1913</v>
      </c>
      <c r="D36" s="190">
        <v>3.5000000000000003E-2</v>
      </c>
      <c r="E36" s="190">
        <f t="shared" si="2"/>
        <v>0</v>
      </c>
      <c r="F36" s="197"/>
    </row>
    <row r="37" spans="2:7" ht="14.25" hidden="1" customHeight="1" x14ac:dyDescent="0.25">
      <c r="B37" s="187">
        <f t="shared" si="3"/>
        <v>1913</v>
      </c>
      <c r="C37" s="187">
        <v>2040</v>
      </c>
      <c r="D37" s="190">
        <v>4.1000000000000002E-2</v>
      </c>
      <c r="E37" s="190">
        <f t="shared" si="2"/>
        <v>0</v>
      </c>
      <c r="F37" s="197"/>
    </row>
    <row r="38" spans="2:7" ht="14.25" hidden="1" customHeight="1" x14ac:dyDescent="0.25">
      <c r="B38" s="187">
        <f t="shared" si="3"/>
        <v>2040</v>
      </c>
      <c r="C38" s="187">
        <v>2414</v>
      </c>
      <c r="D38" s="190">
        <v>5.2999999999999999E-2</v>
      </c>
      <c r="E38" s="190">
        <f t="shared" si="2"/>
        <v>0</v>
      </c>
      <c r="F38" s="197"/>
    </row>
    <row r="39" spans="2:7" ht="14.25" hidden="1" customHeight="1" x14ac:dyDescent="0.25">
      <c r="B39" s="187">
        <f t="shared" si="3"/>
        <v>2414</v>
      </c>
      <c r="C39" s="187">
        <v>2763</v>
      </c>
      <c r="D39" s="190">
        <v>7.4999999999999997E-2</v>
      </c>
      <c r="E39" s="190">
        <f t="shared" si="2"/>
        <v>0</v>
      </c>
      <c r="F39" s="197"/>
    </row>
    <row r="40" spans="2:7" ht="14.25" hidden="1" customHeight="1" x14ac:dyDescent="0.25">
      <c r="B40" s="187">
        <f t="shared" si="3"/>
        <v>2763</v>
      </c>
      <c r="C40" s="187">
        <v>3147</v>
      </c>
      <c r="D40" s="190">
        <v>9.9000000000000005E-2</v>
      </c>
      <c r="E40" s="190">
        <f t="shared" si="2"/>
        <v>0</v>
      </c>
      <c r="F40" s="197"/>
    </row>
    <row r="41" spans="2:7" ht="14.25" hidden="1" customHeight="1" x14ac:dyDescent="0.25">
      <c r="B41" s="187">
        <f t="shared" si="3"/>
        <v>3147</v>
      </c>
      <c r="C41" s="187">
        <v>3543</v>
      </c>
      <c r="D41" s="190">
        <v>0.11899999999999999</v>
      </c>
      <c r="E41" s="190">
        <f t="shared" si="2"/>
        <v>0</v>
      </c>
      <c r="F41" s="197"/>
    </row>
    <row r="42" spans="2:7" ht="14.25" hidden="1" customHeight="1" x14ac:dyDescent="0.25">
      <c r="B42" s="187">
        <f t="shared" si="3"/>
        <v>3543</v>
      </c>
      <c r="C42" s="187">
        <v>4134</v>
      </c>
      <c r="D42" s="190">
        <v>0.13800000000000001</v>
      </c>
      <c r="E42" s="190">
        <f t="shared" si="2"/>
        <v>0</v>
      </c>
      <c r="F42" s="197"/>
    </row>
    <row r="43" spans="2:7" ht="14.25" hidden="1" customHeight="1" x14ac:dyDescent="0.25">
      <c r="B43" s="187">
        <f t="shared" si="3"/>
        <v>4134</v>
      </c>
      <c r="C43" s="187">
        <v>4956</v>
      </c>
      <c r="D43" s="190">
        <v>0.158</v>
      </c>
      <c r="E43" s="190">
        <f t="shared" si="2"/>
        <v>0</v>
      </c>
      <c r="F43" s="197"/>
    </row>
    <row r="44" spans="2:7" ht="14.25" hidden="1" customHeight="1" x14ac:dyDescent="0.25">
      <c r="B44" s="187">
        <f t="shared" si="3"/>
        <v>4956</v>
      </c>
      <c r="C44" s="187">
        <v>6202</v>
      </c>
      <c r="D44" s="190">
        <v>0.17899999999999999</v>
      </c>
      <c r="E44" s="190">
        <f t="shared" si="2"/>
        <v>0</v>
      </c>
      <c r="F44" s="197"/>
    </row>
    <row r="45" spans="2:7" ht="14.25" hidden="1" customHeight="1" x14ac:dyDescent="0.25">
      <c r="B45" s="187">
        <f t="shared" si="3"/>
        <v>6202</v>
      </c>
      <c r="C45" s="187">
        <v>7747</v>
      </c>
      <c r="D45" s="190">
        <v>0.2</v>
      </c>
      <c r="E45" s="190">
        <f t="shared" si="2"/>
        <v>0</v>
      </c>
      <c r="F45" s="197"/>
    </row>
    <row r="46" spans="2:7" ht="14.25" hidden="1" customHeight="1" x14ac:dyDescent="0.25">
      <c r="B46" s="187">
        <f t="shared" si="3"/>
        <v>7747</v>
      </c>
      <c r="C46" s="187">
        <v>10752</v>
      </c>
      <c r="D46" s="190">
        <v>0.24</v>
      </c>
      <c r="E46" s="190">
        <f t="shared" si="2"/>
        <v>0</v>
      </c>
      <c r="F46" s="197"/>
    </row>
    <row r="47" spans="2:7" ht="14.25" hidden="1" customHeight="1" x14ac:dyDescent="0.25">
      <c r="B47" s="187">
        <f t="shared" si="3"/>
        <v>10752</v>
      </c>
      <c r="C47" s="187">
        <v>14563</v>
      </c>
      <c r="D47" s="190">
        <v>0.28000000000000003</v>
      </c>
      <c r="E47" s="190">
        <f t="shared" si="2"/>
        <v>0</v>
      </c>
      <c r="F47" s="197"/>
    </row>
    <row r="48" spans="2:7" ht="14.25" hidden="1" customHeight="1" x14ac:dyDescent="0.25">
      <c r="B48" s="187">
        <f t="shared" si="3"/>
        <v>14563</v>
      </c>
      <c r="C48" s="187">
        <v>22860</v>
      </c>
      <c r="D48" s="190">
        <v>0.33</v>
      </c>
      <c r="E48" s="190">
        <f t="shared" si="2"/>
        <v>0</v>
      </c>
      <c r="F48" s="197"/>
    </row>
    <row r="49" spans="2:6" ht="14.25" hidden="1" customHeight="1" x14ac:dyDescent="0.25">
      <c r="B49" s="187">
        <f t="shared" si="3"/>
        <v>22860</v>
      </c>
      <c r="C49" s="187">
        <v>48967</v>
      </c>
      <c r="D49" s="190">
        <v>0.38</v>
      </c>
      <c r="E49" s="190">
        <f t="shared" si="2"/>
        <v>0</v>
      </c>
      <c r="F49" s="197"/>
    </row>
    <row r="50" spans="2:6" ht="14.25" hidden="1" customHeight="1" x14ac:dyDescent="0.25">
      <c r="B50" s="187">
        <f t="shared" si="3"/>
        <v>48967</v>
      </c>
      <c r="C50" s="194">
        <v>99999999999</v>
      </c>
      <c r="D50" s="190">
        <v>0.43</v>
      </c>
      <c r="E50" s="190">
        <f t="shared" si="2"/>
        <v>0</v>
      </c>
      <c r="F50" s="197"/>
    </row>
    <row r="51" spans="2:6" ht="14.25" hidden="1" customHeight="1" x14ac:dyDescent="0.25">
      <c r="B51" s="185"/>
      <c r="E51" s="190">
        <f>SUM(E31:E50)</f>
        <v>0</v>
      </c>
      <c r="F51" s="198"/>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3" customWidth="1"/>
    <col min="2" max="3" width="25.7109375" style="183" customWidth="1"/>
    <col min="4" max="4" width="11.42578125" style="183"/>
    <col min="5" max="5" width="11.85546875" style="184" bestFit="1" customWidth="1"/>
    <col min="6" max="6" width="17.85546875" style="183" bestFit="1" customWidth="1"/>
    <col min="7" max="7" width="18.85546875" style="183" bestFit="1" customWidth="1"/>
    <col min="8" max="16384" width="11.42578125" style="183"/>
  </cols>
  <sheetData>
    <row r="1" spans="2:11" ht="20.25" customHeight="1" x14ac:dyDescent="0.25">
      <c r="B1" s="1058" t="s">
        <v>489</v>
      </c>
      <c r="C1" s="1058"/>
      <c r="D1" s="1058"/>
      <c r="E1" s="1058"/>
      <c r="F1" s="1058"/>
      <c r="G1" s="1058"/>
      <c r="H1" s="1058"/>
    </row>
    <row r="2" spans="2:11" ht="14.25" customHeight="1" x14ac:dyDescent="0.25"/>
    <row r="3" spans="2:11" ht="14.25" customHeight="1" x14ac:dyDescent="0.25"/>
    <row r="5" spans="2:11" ht="14.25" customHeight="1" x14ac:dyDescent="0.25"/>
    <row r="6" spans="2:11" ht="14.25" customHeight="1" x14ac:dyDescent="0.25">
      <c r="B6" s="38" t="s">
        <v>95</v>
      </c>
      <c r="C6" s="38" t="s">
        <v>96</v>
      </c>
      <c r="D6" s="38" t="s">
        <v>97</v>
      </c>
      <c r="E6" s="38"/>
      <c r="J6" s="185"/>
      <c r="K6" s="186"/>
    </row>
    <row r="7" spans="2:11" ht="14.25" customHeight="1" x14ac:dyDescent="0.25">
      <c r="B7" s="488">
        <v>0</v>
      </c>
      <c r="C7" s="488">
        <v>1591</v>
      </c>
      <c r="D7" s="488">
        <v>0</v>
      </c>
      <c r="E7" s="489">
        <f t="shared" ref="E7:E26" si="0" xml:space="preserve"> IF($H$11&gt;=B7,IF($H$11&lt;C7,D7,0),0)</f>
        <v>0</v>
      </c>
    </row>
    <row r="8" spans="2:11" ht="14.25" customHeight="1" x14ac:dyDescent="0.25">
      <c r="B8" s="488">
        <f>C7</f>
        <v>1591</v>
      </c>
      <c r="C8" s="488">
        <v>1653</v>
      </c>
      <c r="D8" s="414">
        <v>5.0000000000000001E-3</v>
      </c>
      <c r="E8" s="414">
        <f t="shared" si="0"/>
        <v>0</v>
      </c>
    </row>
    <row r="9" spans="2:11" ht="14.25" customHeight="1" x14ac:dyDescent="0.25">
      <c r="B9" s="488">
        <f t="shared" ref="B9:B26" si="1">C8</f>
        <v>1653</v>
      </c>
      <c r="C9" s="488">
        <v>1759</v>
      </c>
      <c r="D9" s="414">
        <v>1.2999999999999999E-2</v>
      </c>
      <c r="E9" s="414">
        <f t="shared" si="0"/>
        <v>0</v>
      </c>
    </row>
    <row r="10" spans="2:11" ht="14.25" customHeight="1" x14ac:dyDescent="0.25">
      <c r="B10" s="488">
        <f t="shared" si="1"/>
        <v>1759</v>
      </c>
      <c r="C10" s="488">
        <v>1877</v>
      </c>
      <c r="D10" s="414">
        <v>2.1000000000000001E-2</v>
      </c>
      <c r="E10" s="414">
        <f t="shared" si="0"/>
        <v>0</v>
      </c>
      <c r="G10" s="1056" t="s">
        <v>194</v>
      </c>
      <c r="H10" s="1056"/>
    </row>
    <row r="11" spans="2:11" ht="14.25" customHeight="1" x14ac:dyDescent="0.25">
      <c r="B11" s="488">
        <f t="shared" si="1"/>
        <v>1877</v>
      </c>
      <c r="C11" s="488">
        <v>2006</v>
      </c>
      <c r="D11" s="414">
        <v>2.9000000000000001E-2</v>
      </c>
      <c r="E11" s="414">
        <f t="shared" si="0"/>
        <v>0</v>
      </c>
      <c r="G11" s="191" t="s">
        <v>93</v>
      </c>
      <c r="H11" s="192">
        <v>3000</v>
      </c>
    </row>
    <row r="12" spans="2:11" ht="14.25" customHeight="1" x14ac:dyDescent="0.25">
      <c r="B12" s="488">
        <f t="shared" si="1"/>
        <v>2006</v>
      </c>
      <c r="C12" s="488">
        <v>2113</v>
      </c>
      <c r="D12" s="414">
        <v>3.5000000000000003E-2</v>
      </c>
      <c r="E12" s="414">
        <f t="shared" si="0"/>
        <v>0</v>
      </c>
      <c r="G12" s="191" t="s">
        <v>94</v>
      </c>
      <c r="H12" s="193">
        <f>E27</f>
        <v>7.4999999999999997E-2</v>
      </c>
    </row>
    <row r="13" spans="2:11" ht="14.25" customHeight="1" x14ac:dyDescent="0.25">
      <c r="B13" s="488">
        <f t="shared" si="1"/>
        <v>2113</v>
      </c>
      <c r="C13" s="488">
        <v>2253</v>
      </c>
      <c r="D13" s="414">
        <v>4.1000000000000002E-2</v>
      </c>
      <c r="E13" s="414">
        <f t="shared" si="0"/>
        <v>0</v>
      </c>
    </row>
    <row r="14" spans="2:11" ht="14.25" customHeight="1" x14ac:dyDescent="0.25">
      <c r="B14" s="488">
        <f t="shared" si="1"/>
        <v>2253</v>
      </c>
      <c r="C14" s="488">
        <v>2666</v>
      </c>
      <c r="D14" s="414">
        <v>5.2999999999999999E-2</v>
      </c>
      <c r="E14" s="414">
        <f t="shared" si="0"/>
        <v>0</v>
      </c>
    </row>
    <row r="15" spans="2:11" ht="14.25" customHeight="1" x14ac:dyDescent="0.25">
      <c r="B15" s="488">
        <f t="shared" si="1"/>
        <v>2666</v>
      </c>
      <c r="C15" s="488">
        <v>3052</v>
      </c>
      <c r="D15" s="414">
        <v>7.4999999999999997E-2</v>
      </c>
      <c r="E15" s="414">
        <f t="shared" si="0"/>
        <v>7.4999999999999997E-2</v>
      </c>
    </row>
    <row r="16" spans="2:11" ht="14.25" customHeight="1" x14ac:dyDescent="0.25">
      <c r="B16" s="488">
        <f t="shared" si="1"/>
        <v>3052</v>
      </c>
      <c r="C16" s="488">
        <v>3476</v>
      </c>
      <c r="D16" s="414">
        <v>9.9000000000000005E-2</v>
      </c>
      <c r="E16" s="414">
        <f t="shared" si="0"/>
        <v>0</v>
      </c>
    </row>
    <row r="17" spans="2:11" ht="14.25" customHeight="1" x14ac:dyDescent="0.25">
      <c r="B17" s="488">
        <f t="shared" si="1"/>
        <v>3476</v>
      </c>
      <c r="C17" s="488">
        <v>3913</v>
      </c>
      <c r="D17" s="414">
        <v>0.11899999999999999</v>
      </c>
      <c r="E17" s="414">
        <f t="shared" si="0"/>
        <v>0</v>
      </c>
    </row>
    <row r="18" spans="2:11" ht="14.25" customHeight="1" x14ac:dyDescent="0.25">
      <c r="B18" s="488">
        <f t="shared" si="1"/>
        <v>3913</v>
      </c>
      <c r="C18" s="488">
        <v>4566</v>
      </c>
      <c r="D18" s="414">
        <v>0.13800000000000001</v>
      </c>
      <c r="E18" s="414">
        <f t="shared" si="0"/>
        <v>0</v>
      </c>
    </row>
    <row r="19" spans="2:11" ht="14.25" customHeight="1" x14ac:dyDescent="0.25">
      <c r="B19" s="488">
        <f t="shared" si="1"/>
        <v>4566</v>
      </c>
      <c r="C19" s="488">
        <v>5475</v>
      </c>
      <c r="D19" s="414">
        <v>0.158</v>
      </c>
      <c r="E19" s="414">
        <f t="shared" si="0"/>
        <v>0</v>
      </c>
    </row>
    <row r="20" spans="2:11" ht="14.25" customHeight="1" x14ac:dyDescent="0.25">
      <c r="B20" s="488">
        <f t="shared" si="1"/>
        <v>5475</v>
      </c>
      <c r="C20" s="488">
        <v>6851</v>
      </c>
      <c r="D20" s="414">
        <v>0.17899999999999999</v>
      </c>
      <c r="E20" s="414">
        <f t="shared" si="0"/>
        <v>0</v>
      </c>
    </row>
    <row r="21" spans="2:11" ht="14.25" customHeight="1" x14ac:dyDescent="0.25">
      <c r="B21" s="488">
        <f t="shared" si="1"/>
        <v>6851</v>
      </c>
      <c r="C21" s="488">
        <v>8557</v>
      </c>
      <c r="D21" s="414">
        <v>0.2</v>
      </c>
      <c r="E21" s="414">
        <f t="shared" si="0"/>
        <v>0</v>
      </c>
    </row>
    <row r="22" spans="2:11" ht="14.25" customHeight="1" x14ac:dyDescent="0.25">
      <c r="B22" s="488">
        <f t="shared" si="1"/>
        <v>8557</v>
      </c>
      <c r="C22" s="488">
        <v>11877</v>
      </c>
      <c r="D22" s="414">
        <v>0.24</v>
      </c>
      <c r="E22" s="414">
        <f t="shared" si="0"/>
        <v>0</v>
      </c>
    </row>
    <row r="23" spans="2:11" ht="14.25" customHeight="1" x14ac:dyDescent="0.25">
      <c r="B23" s="488">
        <f t="shared" si="1"/>
        <v>11877</v>
      </c>
      <c r="C23" s="488">
        <v>16086</v>
      </c>
      <c r="D23" s="414">
        <v>0.28000000000000003</v>
      </c>
      <c r="E23" s="414">
        <f t="shared" si="0"/>
        <v>0</v>
      </c>
    </row>
    <row r="24" spans="2:11" ht="14.25" customHeight="1" x14ac:dyDescent="0.25">
      <c r="B24" s="488">
        <f t="shared" si="1"/>
        <v>16086</v>
      </c>
      <c r="C24" s="488">
        <v>25251</v>
      </c>
      <c r="D24" s="414">
        <v>0.33</v>
      </c>
      <c r="E24" s="414">
        <f t="shared" si="0"/>
        <v>0</v>
      </c>
    </row>
    <row r="25" spans="2:11" ht="14.25" customHeight="1" x14ac:dyDescent="0.25">
      <c r="B25" s="488">
        <f t="shared" si="1"/>
        <v>25251</v>
      </c>
      <c r="C25" s="488">
        <v>54088</v>
      </c>
      <c r="D25" s="414">
        <v>0.38</v>
      </c>
      <c r="E25" s="414">
        <f t="shared" si="0"/>
        <v>0</v>
      </c>
    </row>
    <row r="26" spans="2:11" ht="14.25" customHeight="1" x14ac:dyDescent="0.25">
      <c r="B26" s="488">
        <f t="shared" si="1"/>
        <v>54088</v>
      </c>
      <c r="C26" s="488">
        <v>99999999999</v>
      </c>
      <c r="D26" s="414">
        <v>0.43</v>
      </c>
      <c r="E26" s="414">
        <f t="shared" si="0"/>
        <v>0</v>
      </c>
    </row>
    <row r="27" spans="2:11" ht="14.25" customHeight="1" x14ac:dyDescent="0.25">
      <c r="B27" s="185"/>
      <c r="E27" s="190">
        <f>SUM(E7:E26)</f>
        <v>7.4999999999999997E-2</v>
      </c>
    </row>
    <row r="28" spans="2:11" ht="18" customHeight="1" x14ac:dyDescent="0.25"/>
    <row r="29" spans="2:11" ht="14.25" hidden="1" customHeight="1" x14ac:dyDescent="0.25">
      <c r="J29" s="1057"/>
      <c r="K29" s="1057"/>
    </row>
    <row r="30" spans="2:11" ht="14.25" hidden="1" customHeight="1" x14ac:dyDescent="0.25">
      <c r="B30" s="38" t="s">
        <v>95</v>
      </c>
      <c r="C30" s="38" t="s">
        <v>96</v>
      </c>
      <c r="D30" s="38" t="s">
        <v>97</v>
      </c>
      <c r="E30" s="38"/>
      <c r="K30" s="195"/>
    </row>
    <row r="31" spans="2:11" ht="14.25" hidden="1" customHeight="1" x14ac:dyDescent="0.25">
      <c r="B31" s="187">
        <v>0</v>
      </c>
      <c r="C31" s="187">
        <v>1440</v>
      </c>
      <c r="D31" s="187">
        <v>0</v>
      </c>
      <c r="E31" s="188">
        <f t="shared" ref="E31:E50" si="2" xml:space="preserve"> IF($G$34&gt;=B31,IF($G$34&lt;C31,D31,0),0)</f>
        <v>0</v>
      </c>
      <c r="K31" s="196"/>
    </row>
    <row r="32" spans="2:11" ht="14.25" hidden="1" customHeight="1" x14ac:dyDescent="0.25">
      <c r="B32" s="187">
        <f>C31</f>
        <v>1440</v>
      </c>
      <c r="C32" s="187">
        <v>1496</v>
      </c>
      <c r="D32" s="189">
        <v>5.0000000000000001E-3</v>
      </c>
      <c r="E32" s="190">
        <f t="shared" si="2"/>
        <v>0</v>
      </c>
      <c r="F32" s="197"/>
    </row>
    <row r="33" spans="2:7" ht="14.25" hidden="1" customHeight="1" x14ac:dyDescent="0.25">
      <c r="B33" s="187">
        <f t="shared" ref="B33:B50" si="3">C32</f>
        <v>1496</v>
      </c>
      <c r="C33" s="187">
        <v>1592</v>
      </c>
      <c r="D33" s="189">
        <v>1.2999999999999999E-2</v>
      </c>
      <c r="E33" s="190">
        <f t="shared" si="2"/>
        <v>0</v>
      </c>
      <c r="F33" s="197"/>
      <c r="G33" s="191" t="s">
        <v>195</v>
      </c>
    </row>
    <row r="34" spans="2:7" ht="14.25" hidden="1" customHeight="1" x14ac:dyDescent="0.25">
      <c r="B34" s="187">
        <f t="shared" si="3"/>
        <v>1592</v>
      </c>
      <c r="C34" s="187">
        <v>1699</v>
      </c>
      <c r="D34" s="190">
        <v>2.1000000000000001E-2</v>
      </c>
      <c r="E34" s="190">
        <f t="shared" si="2"/>
        <v>0</v>
      </c>
      <c r="F34" s="197"/>
      <c r="G34" s="192"/>
    </row>
    <row r="35" spans="2:7" ht="14.25" hidden="1" customHeight="1" x14ac:dyDescent="0.25">
      <c r="B35" s="187">
        <f t="shared" si="3"/>
        <v>1699</v>
      </c>
      <c r="C35" s="187">
        <v>1816</v>
      </c>
      <c r="D35" s="190">
        <v>2.9000000000000001E-2</v>
      </c>
      <c r="E35" s="190">
        <f t="shared" si="2"/>
        <v>0</v>
      </c>
      <c r="F35" s="197"/>
      <c r="G35" s="193"/>
    </row>
    <row r="36" spans="2:7" ht="14.25" hidden="1" customHeight="1" x14ac:dyDescent="0.25">
      <c r="B36" s="187">
        <f t="shared" si="3"/>
        <v>1816</v>
      </c>
      <c r="C36" s="187">
        <v>1913</v>
      </c>
      <c r="D36" s="190">
        <v>3.5000000000000003E-2</v>
      </c>
      <c r="E36" s="190">
        <f t="shared" si="2"/>
        <v>0</v>
      </c>
      <c r="F36" s="197"/>
    </row>
    <row r="37" spans="2:7" ht="14.25" hidden="1" customHeight="1" x14ac:dyDescent="0.25">
      <c r="B37" s="187">
        <f t="shared" si="3"/>
        <v>1913</v>
      </c>
      <c r="C37" s="187">
        <v>2040</v>
      </c>
      <c r="D37" s="190">
        <v>4.1000000000000002E-2</v>
      </c>
      <c r="E37" s="190">
        <f t="shared" si="2"/>
        <v>0</v>
      </c>
      <c r="F37" s="197"/>
    </row>
    <row r="38" spans="2:7" ht="14.25" hidden="1" customHeight="1" x14ac:dyDescent="0.25">
      <c r="B38" s="187">
        <f t="shared" si="3"/>
        <v>2040</v>
      </c>
      <c r="C38" s="187">
        <v>2414</v>
      </c>
      <c r="D38" s="190">
        <v>5.2999999999999999E-2</v>
      </c>
      <c r="E38" s="190">
        <f t="shared" si="2"/>
        <v>0</v>
      </c>
      <c r="F38" s="197"/>
    </row>
    <row r="39" spans="2:7" ht="14.25" hidden="1" customHeight="1" x14ac:dyDescent="0.25">
      <c r="B39" s="187">
        <f t="shared" si="3"/>
        <v>2414</v>
      </c>
      <c r="C39" s="187">
        <v>2763</v>
      </c>
      <c r="D39" s="190">
        <v>7.4999999999999997E-2</v>
      </c>
      <c r="E39" s="190">
        <f t="shared" si="2"/>
        <v>0</v>
      </c>
      <c r="F39" s="197"/>
    </row>
    <row r="40" spans="2:7" ht="14.25" hidden="1" customHeight="1" x14ac:dyDescent="0.25">
      <c r="B40" s="187">
        <f t="shared" si="3"/>
        <v>2763</v>
      </c>
      <c r="C40" s="187">
        <v>3147</v>
      </c>
      <c r="D40" s="190">
        <v>9.9000000000000005E-2</v>
      </c>
      <c r="E40" s="190">
        <f t="shared" si="2"/>
        <v>0</v>
      </c>
      <c r="F40" s="197"/>
    </row>
    <row r="41" spans="2:7" ht="14.25" hidden="1" customHeight="1" x14ac:dyDescent="0.25">
      <c r="B41" s="187">
        <f t="shared" si="3"/>
        <v>3147</v>
      </c>
      <c r="C41" s="187">
        <v>3543</v>
      </c>
      <c r="D41" s="190">
        <v>0.11899999999999999</v>
      </c>
      <c r="E41" s="190">
        <f t="shared" si="2"/>
        <v>0</v>
      </c>
      <c r="F41" s="197"/>
    </row>
    <row r="42" spans="2:7" ht="14.25" hidden="1" customHeight="1" x14ac:dyDescent="0.25">
      <c r="B42" s="187">
        <f t="shared" si="3"/>
        <v>3543</v>
      </c>
      <c r="C42" s="187">
        <v>4134</v>
      </c>
      <c r="D42" s="190">
        <v>0.13800000000000001</v>
      </c>
      <c r="E42" s="190">
        <f t="shared" si="2"/>
        <v>0</v>
      </c>
      <c r="F42" s="197"/>
    </row>
    <row r="43" spans="2:7" ht="14.25" hidden="1" customHeight="1" x14ac:dyDescent="0.25">
      <c r="B43" s="187">
        <f t="shared" si="3"/>
        <v>4134</v>
      </c>
      <c r="C43" s="187">
        <v>4956</v>
      </c>
      <c r="D43" s="190">
        <v>0.158</v>
      </c>
      <c r="E43" s="190">
        <f t="shared" si="2"/>
        <v>0</v>
      </c>
      <c r="F43" s="197"/>
    </row>
    <row r="44" spans="2:7" ht="14.25" hidden="1" customHeight="1" x14ac:dyDescent="0.25">
      <c r="B44" s="187">
        <f t="shared" si="3"/>
        <v>4956</v>
      </c>
      <c r="C44" s="187">
        <v>6202</v>
      </c>
      <c r="D44" s="190">
        <v>0.17899999999999999</v>
      </c>
      <c r="E44" s="190">
        <f t="shared" si="2"/>
        <v>0</v>
      </c>
      <c r="F44" s="197"/>
    </row>
    <row r="45" spans="2:7" ht="14.25" hidden="1" customHeight="1" x14ac:dyDescent="0.25">
      <c r="B45" s="187">
        <f t="shared" si="3"/>
        <v>6202</v>
      </c>
      <c r="C45" s="187">
        <v>7747</v>
      </c>
      <c r="D45" s="190">
        <v>0.2</v>
      </c>
      <c r="E45" s="190">
        <f t="shared" si="2"/>
        <v>0</v>
      </c>
      <c r="F45" s="197"/>
    </row>
    <row r="46" spans="2:7" ht="14.25" hidden="1" customHeight="1" x14ac:dyDescent="0.25">
      <c r="B46" s="187">
        <f t="shared" si="3"/>
        <v>7747</v>
      </c>
      <c r="C46" s="187">
        <v>10752</v>
      </c>
      <c r="D46" s="190">
        <v>0.24</v>
      </c>
      <c r="E46" s="190">
        <f t="shared" si="2"/>
        <v>0</v>
      </c>
      <c r="F46" s="197"/>
    </row>
    <row r="47" spans="2:7" ht="14.25" hidden="1" customHeight="1" x14ac:dyDescent="0.25">
      <c r="B47" s="187">
        <f t="shared" si="3"/>
        <v>10752</v>
      </c>
      <c r="C47" s="187">
        <v>14563</v>
      </c>
      <c r="D47" s="190">
        <v>0.28000000000000003</v>
      </c>
      <c r="E47" s="190">
        <f t="shared" si="2"/>
        <v>0</v>
      </c>
      <c r="F47" s="197"/>
    </row>
    <row r="48" spans="2:7" ht="14.25" hidden="1" customHeight="1" x14ac:dyDescent="0.25">
      <c r="B48" s="187">
        <f t="shared" si="3"/>
        <v>14563</v>
      </c>
      <c r="C48" s="187">
        <v>22860</v>
      </c>
      <c r="D48" s="190">
        <v>0.33</v>
      </c>
      <c r="E48" s="190">
        <f t="shared" si="2"/>
        <v>0</v>
      </c>
      <c r="F48" s="197"/>
    </row>
    <row r="49" spans="2:6" ht="14.25" hidden="1" customHeight="1" x14ac:dyDescent="0.25">
      <c r="B49" s="187">
        <f t="shared" si="3"/>
        <v>22860</v>
      </c>
      <c r="C49" s="187">
        <v>48967</v>
      </c>
      <c r="D49" s="190">
        <v>0.38</v>
      </c>
      <c r="E49" s="190">
        <f t="shared" si="2"/>
        <v>0</v>
      </c>
      <c r="F49" s="197"/>
    </row>
    <row r="50" spans="2:6" ht="14.25" hidden="1" customHeight="1" x14ac:dyDescent="0.25">
      <c r="B50" s="187">
        <f t="shared" si="3"/>
        <v>48967</v>
      </c>
      <c r="C50" s="194">
        <v>99999999999</v>
      </c>
      <c r="D50" s="190">
        <v>0.43</v>
      </c>
      <c r="E50" s="190">
        <f t="shared" si="2"/>
        <v>0</v>
      </c>
      <c r="F50" s="197"/>
    </row>
    <row r="51" spans="2:6" ht="14.25" hidden="1" customHeight="1" x14ac:dyDescent="0.25">
      <c r="B51" s="185"/>
      <c r="E51" s="190">
        <f>SUM(E31:E50)</f>
        <v>0</v>
      </c>
      <c r="F51" s="198"/>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3" customWidth="1"/>
    <col min="2" max="3" width="23.28515625" style="183" customWidth="1"/>
    <col min="4" max="4" width="11.42578125" style="183"/>
    <col min="5" max="5" width="11.85546875" style="184" bestFit="1" customWidth="1"/>
    <col min="6" max="6" width="17.85546875" style="183" bestFit="1" customWidth="1"/>
    <col min="7" max="7" width="18.85546875" style="183" bestFit="1" customWidth="1"/>
    <col min="8" max="16384" width="11.42578125" style="183"/>
  </cols>
  <sheetData>
    <row r="1" spans="2:11" ht="20.25" customHeight="1" x14ac:dyDescent="0.25">
      <c r="B1" s="1058" t="s">
        <v>489</v>
      </c>
      <c r="C1" s="1058"/>
      <c r="D1" s="1058"/>
      <c r="E1" s="1058"/>
      <c r="F1" s="1058"/>
      <c r="G1" s="1058"/>
      <c r="H1" s="1058"/>
    </row>
    <row r="2" spans="2:11" ht="14.25" customHeight="1" x14ac:dyDescent="0.25"/>
    <row r="3" spans="2:11" ht="14.25" customHeight="1" x14ac:dyDescent="0.25"/>
    <row r="5" spans="2:11" ht="14.25" customHeight="1" x14ac:dyDescent="0.25"/>
    <row r="6" spans="2:11" ht="14.25" customHeight="1" x14ac:dyDescent="0.25">
      <c r="C6" s="38" t="s">
        <v>95</v>
      </c>
      <c r="D6" s="38" t="s">
        <v>97</v>
      </c>
      <c r="E6" s="38"/>
      <c r="J6" s="185"/>
      <c r="K6" s="186"/>
    </row>
    <row r="7" spans="2:11" ht="14.25" customHeight="1" x14ac:dyDescent="0.25">
      <c r="B7" s="590">
        <v>0</v>
      </c>
      <c r="C7" s="590">
        <v>1620</v>
      </c>
      <c r="D7" s="488">
        <v>0</v>
      </c>
      <c r="E7" s="489">
        <f t="shared" ref="E7:E26" si="0" xml:space="preserve"> IF($H$11&gt;=B7,IF($H$11&lt;C7,D7,0),0)</f>
        <v>0</v>
      </c>
    </row>
    <row r="8" spans="2:11" ht="14.25" customHeight="1" x14ac:dyDescent="0.25">
      <c r="B8" s="590">
        <f>C7</f>
        <v>1620</v>
      </c>
      <c r="C8" s="590">
        <v>1683</v>
      </c>
      <c r="D8" s="414">
        <v>5.0000000000000001E-3</v>
      </c>
      <c r="E8" s="414">
        <f t="shared" si="0"/>
        <v>0</v>
      </c>
    </row>
    <row r="9" spans="2:11" ht="14.25" customHeight="1" x14ac:dyDescent="0.25">
      <c r="B9" s="590">
        <f>C8</f>
        <v>1683</v>
      </c>
      <c r="C9" s="590">
        <v>1791</v>
      </c>
      <c r="D9" s="414">
        <v>1.2999999999999999E-2</v>
      </c>
      <c r="E9" s="414">
        <f t="shared" si="0"/>
        <v>0</v>
      </c>
    </row>
    <row r="10" spans="2:11" ht="14.25" customHeight="1" x14ac:dyDescent="0.25">
      <c r="B10" s="590">
        <f>C9</f>
        <v>1791</v>
      </c>
      <c r="C10" s="590">
        <v>1911</v>
      </c>
      <c r="D10" s="414">
        <v>2.1000000000000001E-2</v>
      </c>
      <c r="E10" s="414">
        <f t="shared" si="0"/>
        <v>0</v>
      </c>
      <c r="G10" s="1059" t="s">
        <v>194</v>
      </c>
      <c r="H10" s="1060"/>
    </row>
    <row r="11" spans="2:11" ht="14.25" customHeight="1" x14ac:dyDescent="0.25">
      <c r="B11" s="590">
        <f>C10</f>
        <v>1911</v>
      </c>
      <c r="C11" s="590">
        <v>2042</v>
      </c>
      <c r="D11" s="414">
        <v>2.9000000000000001E-2</v>
      </c>
      <c r="E11" s="414">
        <f t="shared" si="0"/>
        <v>0</v>
      </c>
      <c r="G11" s="191" t="s">
        <v>93</v>
      </c>
      <c r="H11" s="192">
        <v>3000</v>
      </c>
    </row>
    <row r="12" spans="2:11" ht="14.25" customHeight="1" x14ac:dyDescent="0.25">
      <c r="B12" s="590">
        <f>C11</f>
        <v>2042</v>
      </c>
      <c r="C12" s="590">
        <v>2151</v>
      </c>
      <c r="D12" s="414">
        <v>3.5000000000000003E-2</v>
      </c>
      <c r="E12" s="414">
        <f t="shared" si="0"/>
        <v>0</v>
      </c>
      <c r="G12" s="191" t="s">
        <v>94</v>
      </c>
      <c r="H12" s="193">
        <f>E27</f>
        <v>7.4999999999999997E-2</v>
      </c>
    </row>
    <row r="13" spans="2:11" ht="14.25" customHeight="1" x14ac:dyDescent="0.25">
      <c r="B13" s="590">
        <f t="shared" ref="B13:B24" si="1">C12</f>
        <v>2151</v>
      </c>
      <c r="C13" s="590">
        <v>2294</v>
      </c>
      <c r="D13" s="414">
        <v>4.1000000000000002E-2</v>
      </c>
      <c r="E13" s="414">
        <f t="shared" si="0"/>
        <v>0</v>
      </c>
    </row>
    <row r="14" spans="2:11" ht="14.25" customHeight="1" x14ac:dyDescent="0.25">
      <c r="B14" s="590">
        <f t="shared" si="1"/>
        <v>2294</v>
      </c>
      <c r="C14" s="590">
        <v>2714</v>
      </c>
      <c r="D14" s="414">
        <v>5.2999999999999999E-2</v>
      </c>
      <c r="E14" s="414">
        <f t="shared" si="0"/>
        <v>0</v>
      </c>
    </row>
    <row r="15" spans="2:11" ht="14.25" customHeight="1" x14ac:dyDescent="0.25">
      <c r="B15" s="590">
        <f t="shared" si="1"/>
        <v>2714</v>
      </c>
      <c r="C15" s="590">
        <v>3107</v>
      </c>
      <c r="D15" s="414">
        <v>7.4999999999999997E-2</v>
      </c>
      <c r="E15" s="414">
        <f t="shared" si="0"/>
        <v>7.4999999999999997E-2</v>
      </c>
    </row>
    <row r="16" spans="2:11" ht="14.25" customHeight="1" x14ac:dyDescent="0.25">
      <c r="B16" s="590">
        <f t="shared" si="1"/>
        <v>3107</v>
      </c>
      <c r="C16" s="590">
        <v>3539</v>
      </c>
      <c r="D16" s="414">
        <v>9.9000000000000005E-2</v>
      </c>
      <c r="E16" s="414">
        <f t="shared" si="0"/>
        <v>0</v>
      </c>
    </row>
    <row r="17" spans="2:11" ht="14.25" customHeight="1" x14ac:dyDescent="0.25">
      <c r="B17" s="590">
        <f t="shared" si="1"/>
        <v>3539</v>
      </c>
      <c r="C17" s="590">
        <v>3983</v>
      </c>
      <c r="D17" s="414">
        <v>0.11899999999999999</v>
      </c>
      <c r="E17" s="414">
        <f t="shared" si="0"/>
        <v>0</v>
      </c>
    </row>
    <row r="18" spans="2:11" ht="14.25" customHeight="1" x14ac:dyDescent="0.25">
      <c r="B18" s="590">
        <f t="shared" si="1"/>
        <v>3983</v>
      </c>
      <c r="C18" s="590">
        <v>4648</v>
      </c>
      <c r="D18" s="414">
        <v>0.13800000000000001</v>
      </c>
      <c r="E18" s="414">
        <f t="shared" si="0"/>
        <v>0</v>
      </c>
    </row>
    <row r="19" spans="2:11" ht="14.25" customHeight="1" x14ac:dyDescent="0.25">
      <c r="B19" s="590">
        <f t="shared" si="1"/>
        <v>4648</v>
      </c>
      <c r="C19" s="590">
        <v>5574</v>
      </c>
      <c r="D19" s="414">
        <v>0.158</v>
      </c>
      <c r="E19" s="414">
        <f t="shared" si="0"/>
        <v>0</v>
      </c>
    </row>
    <row r="20" spans="2:11" ht="14.25" customHeight="1" x14ac:dyDescent="0.25">
      <c r="B20" s="590">
        <f t="shared" si="1"/>
        <v>5574</v>
      </c>
      <c r="C20" s="590">
        <v>6974</v>
      </c>
      <c r="D20" s="414">
        <v>0.17899999999999999</v>
      </c>
      <c r="E20" s="414">
        <f t="shared" si="0"/>
        <v>0</v>
      </c>
    </row>
    <row r="21" spans="2:11" ht="14.25" customHeight="1" x14ac:dyDescent="0.25">
      <c r="B21" s="590">
        <f t="shared" si="1"/>
        <v>6974</v>
      </c>
      <c r="C21" s="590">
        <v>8711</v>
      </c>
      <c r="D21" s="414">
        <v>0.2</v>
      </c>
      <c r="E21" s="414">
        <f t="shared" si="0"/>
        <v>0</v>
      </c>
    </row>
    <row r="22" spans="2:11" ht="14.25" customHeight="1" x14ac:dyDescent="0.25">
      <c r="B22" s="590">
        <f t="shared" si="1"/>
        <v>8711</v>
      </c>
      <c r="C22" s="590">
        <v>12091</v>
      </c>
      <c r="D22" s="414">
        <v>0.24</v>
      </c>
      <c r="E22" s="414">
        <f t="shared" si="0"/>
        <v>0</v>
      </c>
    </row>
    <row r="23" spans="2:11" ht="14.25" customHeight="1" x14ac:dyDescent="0.25">
      <c r="B23" s="590">
        <f t="shared" si="1"/>
        <v>12091</v>
      </c>
      <c r="C23" s="590">
        <v>16376</v>
      </c>
      <c r="D23" s="414">
        <v>0.28000000000000003</v>
      </c>
      <c r="E23" s="414">
        <f t="shared" si="0"/>
        <v>0</v>
      </c>
    </row>
    <row r="24" spans="2:11" ht="14.25" customHeight="1" x14ac:dyDescent="0.25">
      <c r="B24" s="590">
        <f t="shared" si="1"/>
        <v>16376</v>
      </c>
      <c r="C24" s="590">
        <v>25706</v>
      </c>
      <c r="D24" s="414">
        <v>0.33</v>
      </c>
      <c r="E24" s="414">
        <f t="shared" si="0"/>
        <v>0</v>
      </c>
    </row>
    <row r="25" spans="2:11" ht="14.25" customHeight="1" x14ac:dyDescent="0.25">
      <c r="B25" s="590">
        <f>C24</f>
        <v>25706</v>
      </c>
      <c r="C25" s="590">
        <v>55062</v>
      </c>
      <c r="D25" s="414">
        <v>0.38</v>
      </c>
      <c r="E25" s="414">
        <f t="shared" si="0"/>
        <v>0</v>
      </c>
    </row>
    <row r="26" spans="2:11" ht="14.25" customHeight="1" x14ac:dyDescent="0.25">
      <c r="B26" s="590">
        <f>C25</f>
        <v>55062</v>
      </c>
      <c r="C26" s="590"/>
      <c r="D26" s="414">
        <v>0.43</v>
      </c>
      <c r="E26" s="414">
        <f t="shared" si="0"/>
        <v>0</v>
      </c>
    </row>
    <row r="27" spans="2:11" ht="14.25" customHeight="1" x14ac:dyDescent="0.25">
      <c r="B27" s="591"/>
      <c r="C27" s="591"/>
      <c r="E27" s="190">
        <f>SUM(E7:E26)</f>
        <v>7.4999999999999997E-2</v>
      </c>
    </row>
    <row r="28" spans="2:11" ht="18" customHeight="1" x14ac:dyDescent="0.25"/>
    <row r="29" spans="2:11" ht="14.25" hidden="1" customHeight="1" x14ac:dyDescent="0.25">
      <c r="B29" s="592" t="s">
        <v>778</v>
      </c>
      <c r="C29" s="592"/>
      <c r="J29" s="1057"/>
      <c r="K29" s="1057"/>
    </row>
    <row r="30" spans="2:11" ht="14.25" hidden="1" customHeight="1" x14ac:dyDescent="0.25">
      <c r="D30" s="38" t="s">
        <v>97</v>
      </c>
      <c r="E30" s="38"/>
      <c r="K30" s="195"/>
    </row>
    <row r="31" spans="2:11" ht="14.25" hidden="1" customHeight="1" x14ac:dyDescent="0.25">
      <c r="D31" s="187">
        <v>0</v>
      </c>
      <c r="E31" s="188">
        <f t="shared" ref="E31:E50" si="2" xml:space="preserve"> IF($G$34&gt;=B31,IF($G$34&lt;C31,D31,0),0)</f>
        <v>0</v>
      </c>
      <c r="K31" s="196"/>
    </row>
    <row r="32" spans="2:11" ht="14.25" hidden="1" customHeight="1" x14ac:dyDescent="0.25">
      <c r="D32" s="189">
        <v>5.0000000000000001E-3</v>
      </c>
      <c r="E32" s="190">
        <f t="shared" si="2"/>
        <v>0</v>
      </c>
      <c r="F32" s="197"/>
    </row>
    <row r="33" spans="4:7" ht="14.25" hidden="1" customHeight="1" x14ac:dyDescent="0.25">
      <c r="D33" s="189">
        <v>1.2999999999999999E-2</v>
      </c>
      <c r="E33" s="190">
        <f t="shared" si="2"/>
        <v>0</v>
      </c>
      <c r="F33" s="197"/>
      <c r="G33" s="191" t="s">
        <v>195</v>
      </c>
    </row>
    <row r="34" spans="4:7" ht="14.25" hidden="1" customHeight="1" x14ac:dyDescent="0.25">
      <c r="D34" s="190">
        <v>2.1000000000000001E-2</v>
      </c>
      <c r="E34" s="190">
        <f t="shared" si="2"/>
        <v>0</v>
      </c>
      <c r="F34" s="197"/>
      <c r="G34" s="192"/>
    </row>
    <row r="35" spans="4:7" ht="14.25" hidden="1" customHeight="1" x14ac:dyDescent="0.25">
      <c r="D35" s="190">
        <v>2.9000000000000001E-2</v>
      </c>
      <c r="E35" s="190">
        <f t="shared" si="2"/>
        <v>0</v>
      </c>
      <c r="F35" s="197"/>
      <c r="G35" s="193"/>
    </row>
    <row r="36" spans="4:7" ht="14.25" hidden="1" customHeight="1" x14ac:dyDescent="0.25">
      <c r="D36" s="190">
        <v>3.5000000000000003E-2</v>
      </c>
      <c r="E36" s="190">
        <f t="shared" si="2"/>
        <v>0</v>
      </c>
      <c r="F36" s="197"/>
    </row>
    <row r="37" spans="4:7" ht="14.25" hidden="1" customHeight="1" x14ac:dyDescent="0.25">
      <c r="D37" s="190">
        <v>4.1000000000000002E-2</v>
      </c>
      <c r="E37" s="190">
        <f t="shared" si="2"/>
        <v>0</v>
      </c>
      <c r="F37" s="197"/>
    </row>
    <row r="38" spans="4:7" ht="14.25" hidden="1" customHeight="1" x14ac:dyDescent="0.25">
      <c r="D38" s="190">
        <v>5.2999999999999999E-2</v>
      </c>
      <c r="E38" s="190">
        <f t="shared" si="2"/>
        <v>0</v>
      </c>
      <c r="F38" s="197"/>
    </row>
    <row r="39" spans="4:7" ht="14.25" hidden="1" customHeight="1" x14ac:dyDescent="0.25">
      <c r="D39" s="190">
        <v>7.4999999999999997E-2</v>
      </c>
      <c r="E39" s="190">
        <f t="shared" si="2"/>
        <v>0</v>
      </c>
      <c r="F39" s="197"/>
    </row>
    <row r="40" spans="4:7" ht="14.25" hidden="1" customHeight="1" x14ac:dyDescent="0.25">
      <c r="D40" s="190">
        <v>9.9000000000000005E-2</v>
      </c>
      <c r="E40" s="190">
        <f t="shared" si="2"/>
        <v>0</v>
      </c>
      <c r="F40" s="197"/>
    </row>
    <row r="41" spans="4:7" ht="14.25" hidden="1" customHeight="1" x14ac:dyDescent="0.25">
      <c r="D41" s="190">
        <v>0.11899999999999999</v>
      </c>
      <c r="E41" s="190">
        <f t="shared" si="2"/>
        <v>0</v>
      </c>
      <c r="F41" s="197"/>
    </row>
    <row r="42" spans="4:7" ht="14.25" hidden="1" customHeight="1" x14ac:dyDescent="0.25">
      <c r="D42" s="190">
        <v>0.13800000000000001</v>
      </c>
      <c r="E42" s="190">
        <f t="shared" si="2"/>
        <v>0</v>
      </c>
      <c r="F42" s="197"/>
    </row>
    <row r="43" spans="4:7" ht="14.25" hidden="1" customHeight="1" x14ac:dyDescent="0.25">
      <c r="D43" s="190">
        <v>0.158</v>
      </c>
      <c r="E43" s="190">
        <f t="shared" si="2"/>
        <v>0</v>
      </c>
      <c r="F43" s="197"/>
    </row>
    <row r="44" spans="4:7" ht="14.25" hidden="1" customHeight="1" x14ac:dyDescent="0.25">
      <c r="D44" s="190">
        <v>0.17899999999999999</v>
      </c>
      <c r="E44" s="190">
        <f t="shared" si="2"/>
        <v>0</v>
      </c>
      <c r="F44" s="197"/>
    </row>
    <row r="45" spans="4:7" ht="14.25" hidden="1" customHeight="1" x14ac:dyDescent="0.25">
      <c r="D45" s="190">
        <v>0.2</v>
      </c>
      <c r="E45" s="190">
        <f t="shared" si="2"/>
        <v>0</v>
      </c>
      <c r="F45" s="197"/>
    </row>
    <row r="46" spans="4:7" ht="14.25" hidden="1" customHeight="1" x14ac:dyDescent="0.25">
      <c r="D46" s="190">
        <v>0.24</v>
      </c>
      <c r="E46" s="190">
        <f t="shared" si="2"/>
        <v>0</v>
      </c>
      <c r="F46" s="197"/>
    </row>
    <row r="47" spans="4:7" ht="14.25" hidden="1" customHeight="1" x14ac:dyDescent="0.25">
      <c r="D47" s="190">
        <v>0.28000000000000003</v>
      </c>
      <c r="E47" s="190">
        <f t="shared" si="2"/>
        <v>0</v>
      </c>
      <c r="F47" s="197"/>
    </row>
    <row r="48" spans="4:7" ht="14.25" hidden="1" customHeight="1" x14ac:dyDescent="0.25">
      <c r="D48" s="190">
        <v>0.33</v>
      </c>
      <c r="E48" s="190">
        <f t="shared" si="2"/>
        <v>0</v>
      </c>
      <c r="F48" s="197"/>
    </row>
    <row r="49" spans="4:6" ht="14.25" hidden="1" customHeight="1" x14ac:dyDescent="0.25">
      <c r="D49" s="190">
        <v>0.38</v>
      </c>
      <c r="E49" s="190">
        <f t="shared" si="2"/>
        <v>0</v>
      </c>
      <c r="F49" s="197"/>
    </row>
    <row r="50" spans="4:6" ht="14.25" hidden="1" customHeight="1" x14ac:dyDescent="0.25">
      <c r="D50" s="190">
        <v>0.43</v>
      </c>
      <c r="E50" s="190">
        <f t="shared" si="2"/>
        <v>0</v>
      </c>
      <c r="F50" s="197"/>
    </row>
    <row r="51" spans="4:6" ht="14.25" hidden="1" customHeight="1" x14ac:dyDescent="0.25">
      <c r="E51" s="190">
        <f>SUM(E31:E50)</f>
        <v>0</v>
      </c>
      <c r="F51" s="198"/>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8" workbookViewId="0">
      <selection activeCell="C22" sqref="C22"/>
    </sheetView>
  </sheetViews>
  <sheetFormatPr baseColWidth="10" defaultRowHeight="15" x14ac:dyDescent="0.25"/>
  <cols>
    <col min="1" max="1" width="4.7109375" style="106" customWidth="1"/>
    <col min="2" max="2" width="13.28515625" customWidth="1"/>
    <col min="3" max="4" width="14.85546875" customWidth="1"/>
    <col min="5" max="5" width="14.7109375" customWidth="1"/>
    <col min="6" max="6" width="14.85546875" customWidth="1"/>
    <col min="7" max="7" width="16.28515625" customWidth="1"/>
  </cols>
  <sheetData>
    <row r="1" spans="1:11" ht="26.45" customHeight="1" x14ac:dyDescent="0.25">
      <c r="B1" s="1061" t="s">
        <v>476</v>
      </c>
      <c r="C1" s="1061"/>
      <c r="D1" s="1061"/>
      <c r="E1" s="1061"/>
      <c r="F1" s="1061"/>
      <c r="G1" s="1061"/>
    </row>
    <row r="2" spans="1:11" ht="26.45" customHeight="1" x14ac:dyDescent="0.25">
      <c r="B2" s="1062"/>
      <c r="C2" s="1062"/>
      <c r="D2" s="1062"/>
      <c r="E2" s="1062"/>
      <c r="F2" s="1062"/>
      <c r="G2" s="1062"/>
    </row>
    <row r="3" spans="1:11" ht="23.25" customHeight="1" x14ac:dyDescent="0.25">
      <c r="B3" s="1066" t="s">
        <v>477</v>
      </c>
      <c r="C3" s="1066"/>
      <c r="D3" s="1063" t="s">
        <v>478</v>
      </c>
      <c r="E3" s="1063"/>
      <c r="F3" s="1063"/>
      <c r="G3" s="1063"/>
    </row>
    <row r="4" spans="1:11" ht="26.45" customHeight="1" x14ac:dyDescent="0.25">
      <c r="B4" s="1064" t="s">
        <v>382</v>
      </c>
      <c r="C4" s="1065"/>
      <c r="D4" s="106"/>
      <c r="F4" s="106"/>
      <c r="G4" s="106"/>
    </row>
    <row r="5" spans="1:11" ht="38.25" x14ac:dyDescent="0.25">
      <c r="A5" s="45">
        <v>1</v>
      </c>
      <c r="B5" s="496" t="s">
        <v>490</v>
      </c>
      <c r="C5" s="435">
        <v>45748</v>
      </c>
      <c r="E5" s="1066">
        <f>ROUND(1.4*11.88*151.67*3*50%/91.25,2)</f>
        <v>41.47</v>
      </c>
      <c r="F5" s="1066" t="s">
        <v>479</v>
      </c>
      <c r="G5" s="1066"/>
      <c r="I5" s="106"/>
      <c r="J5" s="106"/>
      <c r="K5" s="106"/>
    </row>
    <row r="6" spans="1:11" ht="41.25" customHeight="1" x14ac:dyDescent="0.25">
      <c r="A6" s="45">
        <v>2</v>
      </c>
      <c r="B6" s="434" t="s">
        <v>383</v>
      </c>
      <c r="C6" s="435">
        <v>45736</v>
      </c>
      <c r="D6" s="436"/>
      <c r="E6" s="1066"/>
      <c r="F6" s="1066"/>
      <c r="G6" s="1066"/>
    </row>
    <row r="7" spans="1:11" ht="41.25" customHeight="1" x14ac:dyDescent="0.25">
      <c r="B7" s="434" t="s">
        <v>384</v>
      </c>
      <c r="C7" s="435">
        <v>45747</v>
      </c>
      <c r="D7" s="436"/>
      <c r="E7" s="497">
        <f>1.8*11.88*3*151.67*50%/91.25</f>
        <v>53.314705972602738</v>
      </c>
      <c r="F7" s="1072" t="s">
        <v>480</v>
      </c>
      <c r="G7" s="1072"/>
    </row>
    <row r="8" spans="1:11" ht="41.25" customHeight="1" x14ac:dyDescent="0.25">
      <c r="B8" s="45" t="s">
        <v>385</v>
      </c>
      <c r="C8" s="435">
        <v>45717</v>
      </c>
      <c r="D8" s="436"/>
      <c r="E8" s="436"/>
      <c r="F8" s="436"/>
      <c r="G8" s="106"/>
    </row>
    <row r="9" spans="1:11" ht="41.25" customHeight="1" x14ac:dyDescent="0.25">
      <c r="B9" s="45" t="s">
        <v>386</v>
      </c>
      <c r="C9" s="435">
        <v>45747</v>
      </c>
      <c r="D9" s="436"/>
      <c r="E9" s="436"/>
      <c r="F9" s="436"/>
      <c r="G9" s="106"/>
    </row>
    <row r="10" spans="1:11" ht="41.25" customHeight="1" x14ac:dyDescent="0.25">
      <c r="B10" s="45" t="s">
        <v>387</v>
      </c>
      <c r="C10" s="437"/>
      <c r="D10" s="436"/>
      <c r="E10" s="436"/>
      <c r="F10" s="436"/>
      <c r="G10" s="106"/>
    </row>
    <row r="11" spans="1:11" ht="39.75" customHeight="1" x14ac:dyDescent="0.25">
      <c r="B11" s="434" t="s">
        <v>388</v>
      </c>
      <c r="C11" s="45">
        <f>C7-C6+1</f>
        <v>12</v>
      </c>
      <c r="D11" s="106"/>
      <c r="E11" s="106"/>
      <c r="F11" s="106"/>
      <c r="G11" s="106"/>
    </row>
    <row r="12" spans="1:11" ht="39.75" customHeight="1" x14ac:dyDescent="0.25">
      <c r="B12" s="434" t="s">
        <v>389</v>
      </c>
      <c r="C12" s="45">
        <v>3</v>
      </c>
      <c r="D12" s="106"/>
      <c r="E12" s="106"/>
      <c r="F12" s="106"/>
      <c r="G12" s="106"/>
    </row>
    <row r="13" spans="1:11" ht="39.75" customHeight="1" x14ac:dyDescent="0.25">
      <c r="B13" s="434" t="s">
        <v>390</v>
      </c>
      <c r="C13" s="45">
        <f>C11-C12</f>
        <v>9</v>
      </c>
      <c r="D13" s="696"/>
      <c r="E13" s="945"/>
      <c r="F13" s="945"/>
      <c r="G13" s="106"/>
    </row>
    <row r="14" spans="1:11" ht="39.75" customHeight="1" x14ac:dyDescent="0.25">
      <c r="B14" s="434" t="s">
        <v>391</v>
      </c>
      <c r="C14" s="45">
        <f ca="1">SUMPRODUCT((WEEKDAY(ROW(INDIRECT(C$6&amp;":"&amp;C$7)))=7)*1)</f>
        <v>2</v>
      </c>
      <c r="D14" s="106"/>
      <c r="E14" s="106"/>
      <c r="F14" s="106"/>
      <c r="G14" s="106"/>
    </row>
    <row r="15" spans="1:11" ht="39.75" customHeight="1" x14ac:dyDescent="0.25">
      <c r="B15" s="434" t="s">
        <v>392</v>
      </c>
      <c r="C15" s="45">
        <f ca="1">C11-C14</f>
        <v>10</v>
      </c>
      <c r="D15" s="106"/>
      <c r="E15" s="106"/>
      <c r="F15" s="106"/>
      <c r="G15" s="106"/>
    </row>
    <row r="16" spans="1:11" ht="39.75" customHeight="1" x14ac:dyDescent="0.25">
      <c r="B16" s="434" t="s">
        <v>393</v>
      </c>
      <c r="C16" s="45">
        <f>NETWORKDAYS(C6,C7)</f>
        <v>8</v>
      </c>
      <c r="D16" s="106"/>
      <c r="E16" s="106"/>
      <c r="F16" s="106"/>
      <c r="G16" s="106"/>
    </row>
    <row r="17" spans="1:10" ht="39.75" customHeight="1" x14ac:dyDescent="0.25">
      <c r="B17" s="554"/>
      <c r="C17" s="106"/>
      <c r="D17" s="106"/>
      <c r="E17" s="106"/>
      <c r="F17" s="106"/>
      <c r="G17" s="106"/>
    </row>
    <row r="18" spans="1:10" ht="39.75" customHeight="1" x14ac:dyDescent="0.25">
      <c r="B18" s="554"/>
      <c r="C18" s="106"/>
      <c r="D18" s="106"/>
      <c r="E18" s="106"/>
      <c r="F18" s="106"/>
      <c r="G18" s="106"/>
    </row>
    <row r="19" spans="1:10" ht="39.75" customHeight="1" x14ac:dyDescent="0.25">
      <c r="B19" s="554"/>
      <c r="C19" s="106"/>
      <c r="D19" s="106"/>
      <c r="E19" s="106"/>
      <c r="F19" s="106"/>
      <c r="G19" s="106"/>
    </row>
    <row r="20" spans="1:10" ht="23.25" customHeight="1" x14ac:dyDescent="0.25">
      <c r="B20" s="106"/>
      <c r="C20" s="106"/>
      <c r="D20" s="438"/>
      <c r="E20" s="438"/>
      <c r="F20" s="438"/>
      <c r="G20" s="438"/>
    </row>
    <row r="21" spans="1:10" ht="23.25" customHeight="1" x14ac:dyDescent="0.25">
      <c r="B21" s="45" t="s">
        <v>394</v>
      </c>
      <c r="C21" s="498">
        <v>11.88</v>
      </c>
      <c r="D21" s="1066" t="s">
        <v>481</v>
      </c>
      <c r="E21" s="1066"/>
      <c r="F21" s="106"/>
      <c r="G21" s="106"/>
    </row>
    <row r="22" spans="1:10" ht="23.25" customHeight="1" x14ac:dyDescent="0.25">
      <c r="B22" s="460" t="s">
        <v>395</v>
      </c>
      <c r="C22" s="499">
        <v>11.88</v>
      </c>
      <c r="D22" s="1073" t="s">
        <v>482</v>
      </c>
      <c r="E22" s="1074"/>
      <c r="F22" s="439"/>
      <c r="G22" s="439"/>
    </row>
    <row r="23" spans="1:10" x14ac:dyDescent="0.25">
      <c r="B23" s="45" t="s">
        <v>212</v>
      </c>
      <c r="C23" s="57" t="s">
        <v>248</v>
      </c>
      <c r="D23" s="57" t="s">
        <v>249</v>
      </c>
      <c r="E23" s="57" t="s">
        <v>250</v>
      </c>
      <c r="F23" s="57" t="s">
        <v>251</v>
      </c>
      <c r="G23" s="57" t="s">
        <v>483</v>
      </c>
      <c r="J23" s="500"/>
    </row>
    <row r="24" spans="1:10" ht="38.25" customHeight="1" x14ac:dyDescent="0.25">
      <c r="B24" s="1075" t="s">
        <v>484</v>
      </c>
      <c r="C24" s="1075"/>
      <c r="D24" s="1075"/>
      <c r="E24" s="1075"/>
      <c r="F24" s="1075"/>
      <c r="G24" s="1075"/>
      <c r="J24" s="500"/>
    </row>
    <row r="25" spans="1:10" ht="31.15" customHeight="1" x14ac:dyDescent="0.25">
      <c r="A25" s="45">
        <v>10</v>
      </c>
      <c r="B25" s="440" t="s">
        <v>396</v>
      </c>
      <c r="C25" s="441" t="s">
        <v>397</v>
      </c>
      <c r="D25" s="441" t="s">
        <v>398</v>
      </c>
      <c r="E25" s="441" t="s">
        <v>399</v>
      </c>
      <c r="F25" s="441" t="s">
        <v>400</v>
      </c>
      <c r="G25" s="441" t="s">
        <v>401</v>
      </c>
    </row>
    <row r="26" spans="1:10" ht="48.6" customHeight="1" x14ac:dyDescent="0.25">
      <c r="A26" s="45">
        <v>11</v>
      </c>
      <c r="B26" s="442" t="s">
        <v>402</v>
      </c>
      <c r="C26" s="1067" t="s">
        <v>403</v>
      </c>
      <c r="D26" s="1068"/>
      <c r="E26" s="443" t="s">
        <v>404</v>
      </c>
      <c r="F26" s="501" t="s">
        <v>485</v>
      </c>
      <c r="G26" s="443" t="s">
        <v>405</v>
      </c>
    </row>
    <row r="27" spans="1:10" ht="38.25" customHeight="1" x14ac:dyDescent="0.25">
      <c r="A27" s="45">
        <v>12</v>
      </c>
      <c r="B27" s="502" t="s">
        <v>406</v>
      </c>
      <c r="C27" s="444" t="s">
        <v>486</v>
      </c>
      <c r="D27" s="503" t="s">
        <v>487</v>
      </c>
      <c r="E27" s="445">
        <v>2800</v>
      </c>
      <c r="F27" s="504">
        <f>IF(C7&lt;C5,(IF(B27="202N",1.8*C21*151.67,1.8*C22*151.67)),(IF(B27="202N",1.4*C21*151.67,1.4*C21*151.67)))</f>
        <v>3243.3112799999999</v>
      </c>
      <c r="G27" s="447">
        <f>MIN(F27,E27)</f>
        <v>2800</v>
      </c>
    </row>
    <row r="28" spans="1:10" ht="38.25" customHeight="1" x14ac:dyDescent="0.25">
      <c r="A28" s="45">
        <v>13</v>
      </c>
      <c r="B28" s="502" t="s">
        <v>435</v>
      </c>
      <c r="C28" s="444" t="s">
        <v>488</v>
      </c>
      <c r="D28" s="503" t="s">
        <v>99</v>
      </c>
      <c r="E28" s="445">
        <v>2500</v>
      </c>
      <c r="F28" s="446">
        <f>F27</f>
        <v>3243.3112799999999</v>
      </c>
      <c r="G28" s="447">
        <f>MIN(F28,E28)</f>
        <v>2500</v>
      </c>
    </row>
    <row r="29" spans="1:10" ht="38.25" customHeight="1" x14ac:dyDescent="0.25">
      <c r="A29" s="45">
        <v>14</v>
      </c>
      <c r="B29" s="502" t="s">
        <v>435</v>
      </c>
      <c r="C29" s="444" t="s">
        <v>407</v>
      </c>
      <c r="D29" s="503" t="s">
        <v>121</v>
      </c>
      <c r="E29" s="445">
        <v>3300</v>
      </c>
      <c r="F29" s="446">
        <f>F28</f>
        <v>3243.3112799999999</v>
      </c>
      <c r="G29" s="447">
        <f>MIN(F29,E29)</f>
        <v>3243.3112799999999</v>
      </c>
    </row>
    <row r="30" spans="1:10" ht="38.25" customHeight="1" x14ac:dyDescent="0.25">
      <c r="B30" s="448"/>
      <c r="C30" s="448"/>
      <c r="D30" s="449"/>
      <c r="E30" s="449"/>
      <c r="F30" s="450" t="s">
        <v>86</v>
      </c>
      <c r="G30" s="445">
        <f>SUM(G27:G29)</f>
        <v>8543.3112799999999</v>
      </c>
    </row>
    <row r="31" spans="1:10" ht="38.25" customHeight="1" x14ac:dyDescent="0.25">
      <c r="B31" s="448"/>
      <c r="C31" s="448"/>
      <c r="D31" s="439"/>
      <c r="E31" s="439"/>
      <c r="F31" s="444" t="s">
        <v>408</v>
      </c>
      <c r="G31" s="445">
        <f>ROUND(G30*0.5/91.25,6)</f>
        <v>46.812665000000003</v>
      </c>
    </row>
    <row r="32" spans="1:10" ht="38.25" customHeight="1" x14ac:dyDescent="0.25">
      <c r="B32" s="448"/>
      <c r="C32" s="448"/>
      <c r="D32" s="439"/>
      <c r="E32" s="439"/>
      <c r="F32" s="451" t="s">
        <v>409</v>
      </c>
      <c r="G32" s="452">
        <f>C13</f>
        <v>9</v>
      </c>
    </row>
    <row r="33" spans="2:9" ht="38.25" customHeight="1" x14ac:dyDescent="0.25">
      <c r="B33" s="448"/>
      <c r="C33" s="448"/>
      <c r="D33" s="439"/>
      <c r="E33" s="439"/>
      <c r="F33" s="444" t="s">
        <v>410</v>
      </c>
      <c r="G33" s="445">
        <f>ROUND(G31*G32,2)</f>
        <v>421.31</v>
      </c>
    </row>
    <row r="34" spans="2:9" ht="38.25" customHeight="1" x14ac:dyDescent="0.25">
      <c r="B34" s="448"/>
      <c r="C34" s="448"/>
      <c r="D34" s="439"/>
      <c r="E34" s="439"/>
      <c r="F34" s="444" t="s">
        <v>411</v>
      </c>
      <c r="G34" s="445">
        <f>ROUND(G33*0.933,2)</f>
        <v>393.08</v>
      </c>
    </row>
    <row r="35" spans="2:9" ht="38.25" customHeight="1" x14ac:dyDescent="0.25">
      <c r="B35" s="448"/>
      <c r="C35" s="448"/>
      <c r="D35" s="439"/>
      <c r="E35" s="439"/>
      <c r="F35" s="505" t="s">
        <v>412</v>
      </c>
      <c r="G35" s="445">
        <f>G33*2.9%</f>
        <v>12.217989999999999</v>
      </c>
      <c r="H35" s="696" t="s">
        <v>413</v>
      </c>
      <c r="I35" s="945"/>
    </row>
    <row r="36" spans="2:9" ht="38.25" customHeight="1" x14ac:dyDescent="0.25">
      <c r="F36" s="505" t="s">
        <v>414</v>
      </c>
      <c r="G36" s="445">
        <f>G33*3.8%</f>
        <v>16.009779999999999</v>
      </c>
      <c r="H36" s="696"/>
      <c r="I36" s="945"/>
    </row>
    <row r="37" spans="2:9" ht="105" customHeight="1" x14ac:dyDescent="0.25"/>
    <row r="38" spans="2:9" ht="33.75" customHeight="1" x14ac:dyDescent="0.25">
      <c r="B38" s="1069" t="s">
        <v>415</v>
      </c>
      <c r="C38" s="1070"/>
      <c r="D38" s="1070"/>
      <c r="E38" s="1070"/>
      <c r="F38" s="1070"/>
      <c r="G38" s="1071"/>
    </row>
    <row r="39" spans="2:9" ht="33" customHeight="1" x14ac:dyDescent="0.25">
      <c r="B39" s="506" t="s">
        <v>383</v>
      </c>
      <c r="C39" s="507">
        <f>C6</f>
        <v>45736</v>
      </c>
      <c r="D39" s="454"/>
      <c r="E39" s="454"/>
      <c r="F39" s="454"/>
      <c r="G39" s="52"/>
    </row>
    <row r="40" spans="2:9" ht="33" customHeight="1" x14ac:dyDescent="0.25">
      <c r="B40" s="140" t="s">
        <v>384</v>
      </c>
      <c r="C40" s="453">
        <f>C7</f>
        <v>45747</v>
      </c>
      <c r="D40" s="454"/>
      <c r="E40" s="454"/>
      <c r="F40" s="454"/>
      <c r="G40" s="7"/>
    </row>
    <row r="41" spans="2:9" ht="33" customHeight="1" x14ac:dyDescent="0.25">
      <c r="B41" s="140" t="s">
        <v>385</v>
      </c>
      <c r="C41" s="453">
        <f>C8</f>
        <v>45717</v>
      </c>
      <c r="D41" s="436"/>
      <c r="E41" s="436"/>
      <c r="F41" s="436"/>
      <c r="G41" s="106"/>
    </row>
    <row r="42" spans="2:9" ht="33" customHeight="1" x14ac:dyDescent="0.25">
      <c r="B42" s="140" t="s">
        <v>386</v>
      </c>
      <c r="C42" s="453">
        <f>C9</f>
        <v>45747</v>
      </c>
      <c r="D42" s="436"/>
      <c r="E42" s="436"/>
      <c r="F42" s="436"/>
      <c r="G42" s="106"/>
    </row>
    <row r="43" spans="2:9" ht="33" customHeight="1" x14ac:dyDescent="0.25">
      <c r="B43" s="140" t="s">
        <v>416</v>
      </c>
      <c r="C43" s="455">
        <f>C10</f>
        <v>0</v>
      </c>
      <c r="D43" s="106"/>
      <c r="E43" s="106"/>
      <c r="F43" s="106"/>
      <c r="G43" s="106"/>
    </row>
    <row r="44" spans="2:9" ht="33.75" customHeight="1" x14ac:dyDescent="0.25">
      <c r="B44" s="456" t="s">
        <v>388</v>
      </c>
      <c r="C44" s="456">
        <f>C40-C39+1</f>
        <v>12</v>
      </c>
      <c r="D44" s="106"/>
      <c r="E44" s="106"/>
      <c r="F44" s="106"/>
      <c r="G44" s="106"/>
    </row>
    <row r="45" spans="2:9" ht="33.75" customHeight="1" x14ac:dyDescent="0.25">
      <c r="B45" s="457" t="s">
        <v>417</v>
      </c>
      <c r="C45" s="457">
        <f ca="1">SUMPRODUCT((WEEKDAY(ROW(INDIRECT(C$39&amp;":"&amp;C$40)))=7)*1)</f>
        <v>2</v>
      </c>
      <c r="D45" s="106"/>
      <c r="E45" s="106"/>
      <c r="F45" s="106"/>
      <c r="G45" s="106"/>
    </row>
    <row r="46" spans="2:9" ht="33.75" customHeight="1" x14ac:dyDescent="0.25">
      <c r="B46" s="456" t="s">
        <v>418</v>
      </c>
      <c r="C46" s="456">
        <f>NETWORKDAYS(C39,C40)</f>
        <v>8</v>
      </c>
      <c r="D46" s="106"/>
      <c r="E46" s="106"/>
      <c r="F46" s="106"/>
      <c r="G46" s="106"/>
    </row>
    <row r="47" spans="2:9" ht="57" customHeight="1" x14ac:dyDescent="0.25">
      <c r="B47" s="456" t="s">
        <v>419</v>
      </c>
      <c r="C47" s="456">
        <f ca="1">C44-C45</f>
        <v>10</v>
      </c>
      <c r="D47" s="106"/>
      <c r="E47" s="106"/>
      <c r="F47" s="106"/>
      <c r="G47" s="106"/>
    </row>
    <row r="48" spans="2:9" ht="50.45" customHeight="1" x14ac:dyDescent="0.25">
      <c r="B48" s="458" t="s">
        <v>420</v>
      </c>
      <c r="C48" s="458"/>
      <c r="D48" s="52"/>
      <c r="E48" s="52"/>
      <c r="F48" s="52"/>
      <c r="G48" s="52"/>
    </row>
    <row r="49" spans="2:7" ht="48" customHeight="1" x14ac:dyDescent="0.25">
      <c r="B49" s="458" t="s">
        <v>421</v>
      </c>
      <c r="C49" s="458"/>
      <c r="D49" s="52"/>
      <c r="E49" s="52"/>
      <c r="F49" s="52"/>
      <c r="G49" s="52"/>
    </row>
    <row r="50" spans="2:7" ht="45.6" customHeight="1" x14ac:dyDescent="0.25">
      <c r="B50" s="459" t="s">
        <v>422</v>
      </c>
      <c r="C50" s="456">
        <v>147</v>
      </c>
      <c r="D50" s="106"/>
      <c r="E50" s="106"/>
      <c r="F50" s="106"/>
      <c r="G50" s="106"/>
    </row>
    <row r="51" spans="2:7" ht="44.45" customHeight="1" x14ac:dyDescent="0.25">
      <c r="B51" s="457" t="s">
        <v>423</v>
      </c>
      <c r="C51" s="457">
        <f>NETWORKDAYS(C41,C42)</f>
        <v>21</v>
      </c>
      <c r="D51" s="106"/>
      <c r="E51" s="106"/>
      <c r="F51" s="106"/>
      <c r="G51" s="106"/>
    </row>
    <row r="52" spans="2:7" ht="38.25" customHeight="1" x14ac:dyDescent="0.25">
      <c r="B52" s="456" t="s">
        <v>424</v>
      </c>
      <c r="C52" s="456">
        <f>ROUND(C43*C46/C51,2)</f>
        <v>0</v>
      </c>
      <c r="D52" s="106"/>
      <c r="E52" s="106"/>
      <c r="F52" s="106"/>
      <c r="G52" s="106"/>
    </row>
    <row r="53" spans="2:7" ht="28.5" customHeight="1" x14ac:dyDescent="0.25">
      <c r="B53" s="456" t="s">
        <v>425</v>
      </c>
      <c r="C53" s="456">
        <f>ROUND(C43*C46/22,2)</f>
        <v>0</v>
      </c>
      <c r="D53" s="106"/>
      <c r="E53" s="106"/>
      <c r="F53" s="106"/>
      <c r="G53" s="106"/>
    </row>
    <row r="54" spans="2:7" ht="41.25" customHeight="1" x14ac:dyDescent="0.25">
      <c r="B54" s="456" t="s">
        <v>426</v>
      </c>
      <c r="C54" s="456">
        <f>ROUND(C43*C46/21.67,2)</f>
        <v>0</v>
      </c>
      <c r="D54" s="106"/>
      <c r="E54" s="106"/>
      <c r="F54" s="106"/>
      <c r="G54" s="106"/>
    </row>
    <row r="55" spans="2:7" ht="36" customHeight="1" x14ac:dyDescent="0.25">
      <c r="B55" s="457" t="s">
        <v>427</v>
      </c>
      <c r="C55" s="457">
        <f>C42-C41+1</f>
        <v>31</v>
      </c>
      <c r="D55" s="106"/>
      <c r="E55" s="106"/>
      <c r="F55" s="106"/>
      <c r="G55" s="106"/>
    </row>
    <row r="56" spans="2:7" ht="39" customHeight="1" x14ac:dyDescent="0.25">
      <c r="B56" s="456" t="s">
        <v>428</v>
      </c>
      <c r="C56" s="456">
        <f>ROUND(C43*C44/C55,2)</f>
        <v>0</v>
      </c>
      <c r="D56" s="106"/>
      <c r="E56" s="106"/>
      <c r="F56" s="106"/>
      <c r="G56" s="106"/>
    </row>
    <row r="57" spans="2:7" ht="42.6" customHeight="1" x14ac:dyDescent="0.25">
      <c r="B57" s="456" t="s">
        <v>429</v>
      </c>
      <c r="C57" s="456">
        <f>ROUND(C43*C44/30,2)</f>
        <v>0</v>
      </c>
      <c r="D57" s="106"/>
      <c r="E57" s="106"/>
      <c r="F57" s="106"/>
      <c r="G57" s="106"/>
    </row>
    <row r="58" spans="2:7" ht="36" customHeight="1" x14ac:dyDescent="0.25">
      <c r="B58" s="457" t="s">
        <v>430</v>
      </c>
      <c r="C58" s="457">
        <f ca="1">SUMPRODUCT((WEEKDAY(ROW(INDIRECT($C41&amp;":"&amp;$C42)))=7)*1)</f>
        <v>5</v>
      </c>
      <c r="D58" s="106"/>
      <c r="E58" s="106"/>
      <c r="F58" s="106"/>
      <c r="G58" s="106"/>
    </row>
    <row r="59" spans="2:7" ht="36" customHeight="1" x14ac:dyDescent="0.25">
      <c r="B59" s="457" t="s">
        <v>431</v>
      </c>
      <c r="C59" s="457">
        <f ca="1">C55-C58</f>
        <v>26</v>
      </c>
      <c r="D59" s="106"/>
      <c r="E59" s="106"/>
      <c r="F59" s="106"/>
      <c r="G59" s="106"/>
    </row>
    <row r="60" spans="2:7" ht="39.75" customHeight="1" x14ac:dyDescent="0.25">
      <c r="B60" s="456" t="s">
        <v>432</v>
      </c>
      <c r="C60" s="456">
        <f ca="1">ROUND(C43*C47/C59,2)</f>
        <v>0</v>
      </c>
      <c r="D60" s="106"/>
      <c r="E60" s="106"/>
      <c r="F60" s="106"/>
      <c r="G60" s="106"/>
    </row>
    <row r="61" spans="2:7" ht="39.75" customHeight="1" x14ac:dyDescent="0.25">
      <c r="B61" s="456" t="s">
        <v>433</v>
      </c>
      <c r="C61" s="456">
        <f ca="1">ROUND(C43*C47/26,2)</f>
        <v>0</v>
      </c>
      <c r="D61" s="106"/>
      <c r="E61" s="106"/>
      <c r="F61" s="106"/>
      <c r="G61" s="106"/>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76" type="noConversion"/>
  <pageMargins left="0.70866141732283472" right="0.70866141732283472" top="0" bottom="0" header="0.31496062992125984" footer="0.31496062992125984"/>
  <pageSetup paperSize="9" scale="80" orientation="landscape" horizontalDpi="4294967293"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25" zoomScale="110" zoomScaleNormal="110" workbookViewId="0">
      <selection activeCell="D14" sqref="D14"/>
    </sheetView>
  </sheetViews>
  <sheetFormatPr baseColWidth="10" defaultColWidth="11.42578125" defaultRowHeight="15.75" x14ac:dyDescent="0.25"/>
  <cols>
    <col min="1" max="16384" width="11.42578125" style="183"/>
  </cols>
  <sheetData>
    <row r="3" spans="2:4" x14ac:dyDescent="0.25">
      <c r="B3" s="183" t="s">
        <v>644</v>
      </c>
    </row>
    <row r="5" spans="2:4" x14ac:dyDescent="0.25">
      <c r="C5" s="183" t="s">
        <v>645</v>
      </c>
    </row>
    <row r="6" spans="2:4" x14ac:dyDescent="0.25">
      <c r="C6" s="183" t="s">
        <v>646</v>
      </c>
    </row>
    <row r="8" spans="2:4" x14ac:dyDescent="0.25">
      <c r="B8" s="183" t="s">
        <v>647</v>
      </c>
    </row>
    <row r="9" spans="2:4" x14ac:dyDescent="0.25">
      <c r="B9" s="183" t="s">
        <v>716</v>
      </c>
    </row>
    <row r="11" spans="2:4" x14ac:dyDescent="0.25">
      <c r="C11" s="183" t="s">
        <v>648</v>
      </c>
    </row>
    <row r="13" spans="2:4" x14ac:dyDescent="0.25">
      <c r="D13" s="183" t="s">
        <v>860</v>
      </c>
    </row>
    <row r="14" spans="2:4" x14ac:dyDescent="0.25">
      <c r="D14" s="183" t="s">
        <v>496</v>
      </c>
    </row>
    <row r="15" spans="2:4" x14ac:dyDescent="0.25">
      <c r="D15" s="183" t="s">
        <v>649</v>
      </c>
    </row>
    <row r="16" spans="2:4" x14ac:dyDescent="0.25">
      <c r="D16" s="183" t="s">
        <v>650</v>
      </c>
    </row>
    <row r="17" spans="4:7" x14ac:dyDescent="0.25">
      <c r="D17" s="183" t="s">
        <v>651</v>
      </c>
      <c r="G17" s="183" t="s">
        <v>652</v>
      </c>
    </row>
    <row r="18" spans="4:7" x14ac:dyDescent="0.25">
      <c r="D18" s="183" t="s">
        <v>505</v>
      </c>
    </row>
    <row r="19" spans="4:7" x14ac:dyDescent="0.25">
      <c r="D19" s="183" t="s">
        <v>653</v>
      </c>
      <c r="G19" s="58" t="s">
        <v>654</v>
      </c>
    </row>
    <row r="20" spans="4:7" x14ac:dyDescent="0.25">
      <c r="G20" s="183" t="s">
        <v>655</v>
      </c>
    </row>
    <row r="21" spans="4:7" x14ac:dyDescent="0.25">
      <c r="D21" s="183" t="s">
        <v>656</v>
      </c>
      <c r="G21" s="183" t="s">
        <v>657</v>
      </c>
    </row>
    <row r="22" spans="4:7" x14ac:dyDescent="0.25">
      <c r="G22" s="183" t="s">
        <v>658</v>
      </c>
    </row>
    <row r="23" spans="4:7" x14ac:dyDescent="0.25">
      <c r="D23" s="183" t="s">
        <v>843</v>
      </c>
      <c r="G23" s="183" t="s">
        <v>713</v>
      </c>
    </row>
    <row r="24" spans="4:7" x14ac:dyDescent="0.25">
      <c r="D24" s="183" t="s">
        <v>659</v>
      </c>
      <c r="G24" s="183" t="s">
        <v>660</v>
      </c>
    </row>
    <row r="25" spans="4:7" x14ac:dyDescent="0.25">
      <c r="D25" s="183" t="s">
        <v>661</v>
      </c>
      <c r="G25" s="495" t="s">
        <v>662</v>
      </c>
    </row>
    <row r="26" spans="4:7" x14ac:dyDescent="0.25">
      <c r="D26" s="183" t="s">
        <v>663</v>
      </c>
      <c r="G26" s="183" t="s">
        <v>664</v>
      </c>
    </row>
    <row r="27" spans="4:7" x14ac:dyDescent="0.25">
      <c r="D27" s="183" t="s">
        <v>665</v>
      </c>
      <c r="G27" s="183" t="s">
        <v>666</v>
      </c>
    </row>
    <row r="28" spans="4:7" x14ac:dyDescent="0.25">
      <c r="D28" s="183" t="s">
        <v>667</v>
      </c>
      <c r="G28" s="183" t="s">
        <v>668</v>
      </c>
    </row>
    <row r="29" spans="4:7" x14ac:dyDescent="0.25">
      <c r="D29" s="183" t="s">
        <v>669</v>
      </c>
      <c r="G29" s="183" t="s">
        <v>670</v>
      </c>
    </row>
    <row r="30" spans="4:7" x14ac:dyDescent="0.25">
      <c r="D30" s="183" t="s">
        <v>671</v>
      </c>
    </row>
    <row r="31" spans="4:7" x14ac:dyDescent="0.25">
      <c r="D31" s="183" t="s">
        <v>672</v>
      </c>
    </row>
  </sheetData>
  <phoneticPr fontId="76"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676275</xdr:colOff>
                <xdr:row>36</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L63"/>
  <sheetViews>
    <sheetView topLeftCell="A21" workbookViewId="0">
      <selection activeCell="A21" sqref="A1:XFD1048576"/>
    </sheetView>
  </sheetViews>
  <sheetFormatPr baseColWidth="10" defaultRowHeight="15" x14ac:dyDescent="0.25"/>
  <cols>
    <col min="1" max="1" width="7" style="106" customWidth="1"/>
    <col min="2" max="2" width="23.28515625" customWidth="1"/>
    <col min="3" max="4" width="14.85546875" customWidth="1"/>
    <col min="5" max="5" width="15.7109375" customWidth="1"/>
    <col min="6" max="6" width="14.85546875" customWidth="1"/>
    <col min="7" max="7" width="16.28515625" customWidth="1"/>
  </cols>
  <sheetData>
    <row r="1" spans="2:7" ht="23.25" customHeight="1" x14ac:dyDescent="0.25">
      <c r="B1" s="1066" t="s">
        <v>477</v>
      </c>
      <c r="C1" s="1066"/>
      <c r="D1" s="1063" t="s">
        <v>478</v>
      </c>
      <c r="E1" s="1063"/>
      <c r="F1" s="1063"/>
      <c r="G1" s="1063"/>
    </row>
    <row r="2" spans="2:7" ht="26.45" customHeight="1" x14ac:dyDescent="0.25">
      <c r="B2" s="1064" t="s">
        <v>382</v>
      </c>
      <c r="C2" s="1065"/>
      <c r="D2" s="106"/>
      <c r="F2" s="106"/>
      <c r="G2" s="106"/>
    </row>
    <row r="3" spans="2:7" ht="28.15" customHeight="1" x14ac:dyDescent="0.25">
      <c r="B3" s="434" t="s">
        <v>717</v>
      </c>
      <c r="C3" s="647">
        <v>45748</v>
      </c>
      <c r="E3" s="697">
        <f>ROUND(1.4*'[8]Table des Taux 2026'!D54*151.67*3*50%/91.25,2)</f>
        <v>41.96</v>
      </c>
      <c r="F3" s="1066" t="s">
        <v>479</v>
      </c>
      <c r="G3" s="1066"/>
    </row>
    <row r="4" spans="2:7" ht="41.25" customHeight="1" x14ac:dyDescent="0.25">
      <c r="B4" s="434" t="s">
        <v>383</v>
      </c>
      <c r="C4" s="435">
        <v>46122</v>
      </c>
      <c r="D4" s="436"/>
      <c r="E4" s="697"/>
      <c r="F4" s="1066"/>
      <c r="G4" s="1066"/>
    </row>
    <row r="5" spans="2:7" ht="41.25" customHeight="1" x14ac:dyDescent="0.25">
      <c r="B5" s="434" t="s">
        <v>384</v>
      </c>
      <c r="C5" s="435">
        <v>46167</v>
      </c>
      <c r="D5" s="436"/>
      <c r="E5" s="436"/>
      <c r="F5" s="436"/>
      <c r="G5" s="436"/>
    </row>
    <row r="6" spans="2:7" ht="41.25" customHeight="1" x14ac:dyDescent="0.25">
      <c r="B6" s="45" t="s">
        <v>385</v>
      </c>
      <c r="C6" s="435">
        <v>46113</v>
      </c>
      <c r="D6" s="436"/>
      <c r="E6" s="436"/>
      <c r="F6" s="436"/>
      <c r="G6" s="106"/>
    </row>
    <row r="7" spans="2:7" ht="41.25" customHeight="1" x14ac:dyDescent="0.25">
      <c r="B7" s="45" t="s">
        <v>386</v>
      </c>
      <c r="C7" s="435" t="s">
        <v>884</v>
      </c>
      <c r="D7" s="436"/>
      <c r="E7" s="436"/>
      <c r="F7" s="436"/>
      <c r="G7" s="106"/>
    </row>
    <row r="8" spans="2:7" ht="41.25" customHeight="1" x14ac:dyDescent="0.25">
      <c r="B8" s="45" t="s">
        <v>387</v>
      </c>
      <c r="C8" s="437"/>
      <c r="D8" s="436"/>
      <c r="E8" s="436"/>
      <c r="F8" s="436"/>
      <c r="G8" s="106"/>
    </row>
    <row r="9" spans="2:7" ht="39.75" customHeight="1" x14ac:dyDescent="0.25">
      <c r="B9" s="434" t="s">
        <v>388</v>
      </c>
      <c r="C9" s="45">
        <f>C5-C4+1</f>
        <v>46</v>
      </c>
      <c r="D9" s="106"/>
      <c r="E9" s="106"/>
      <c r="F9" s="106"/>
      <c r="G9" s="106"/>
    </row>
    <row r="10" spans="2:7" ht="39.75" customHeight="1" x14ac:dyDescent="0.25">
      <c r="B10" s="434" t="s">
        <v>389</v>
      </c>
      <c r="C10" s="45">
        <v>3</v>
      </c>
      <c r="D10" s="106"/>
      <c r="E10" s="106"/>
      <c r="F10" s="106"/>
      <c r="G10" s="106"/>
    </row>
    <row r="11" spans="2:7" ht="39.75" customHeight="1" x14ac:dyDescent="0.25">
      <c r="B11" s="434" t="s">
        <v>390</v>
      </c>
      <c r="C11" s="45">
        <f>C9-C10</f>
        <v>43</v>
      </c>
      <c r="D11" s="696"/>
      <c r="E11" s="945"/>
      <c r="F11" s="945"/>
      <c r="G11" s="106"/>
    </row>
    <row r="12" spans="2:7" ht="39.75" customHeight="1" x14ac:dyDescent="0.25">
      <c r="B12" s="434" t="s">
        <v>391</v>
      </c>
      <c r="C12" s="45">
        <f ca="1">SUMPRODUCT((WEEKDAY(ROW(INDIRECT(C$4&amp;":"&amp;C$5)))=7)*1)</f>
        <v>7</v>
      </c>
      <c r="D12" s="106"/>
      <c r="E12" s="106"/>
      <c r="F12" s="106"/>
      <c r="G12" s="106"/>
    </row>
    <row r="13" spans="2:7" ht="39.75" customHeight="1" x14ac:dyDescent="0.25">
      <c r="B13" s="434" t="s">
        <v>392</v>
      </c>
      <c r="C13" s="45">
        <f ca="1">C9-C12</f>
        <v>39</v>
      </c>
      <c r="D13" s="106"/>
      <c r="E13" s="106"/>
      <c r="F13" s="106"/>
      <c r="G13" s="106"/>
    </row>
    <row r="14" spans="2:7" ht="39.75" customHeight="1" x14ac:dyDescent="0.25">
      <c r="B14" s="434" t="s">
        <v>393</v>
      </c>
      <c r="C14" s="45">
        <f>NETWORKDAYS(C4,C5)</f>
        <v>32</v>
      </c>
      <c r="D14" s="106"/>
      <c r="E14" s="106"/>
      <c r="F14" s="106"/>
      <c r="G14" s="106"/>
    </row>
    <row r="15" spans="2:7" ht="23.25" customHeight="1" x14ac:dyDescent="0.25">
      <c r="B15" s="106"/>
      <c r="C15" s="106"/>
      <c r="D15" s="438"/>
      <c r="E15" s="438"/>
      <c r="F15" s="438"/>
      <c r="G15" s="438"/>
    </row>
    <row r="16" spans="2:7" ht="23.25" customHeight="1" x14ac:dyDescent="0.25">
      <c r="B16" s="45" t="s">
        <v>394</v>
      </c>
      <c r="C16" s="498">
        <f>'[8]Table des Taux 2026'!D54</f>
        <v>12.02</v>
      </c>
      <c r="D16" s="1066" t="s">
        <v>885</v>
      </c>
      <c r="E16" s="1066"/>
      <c r="F16" s="106"/>
      <c r="G16" s="106"/>
    </row>
    <row r="17" spans="2:12" ht="23.25" customHeight="1" x14ac:dyDescent="0.25">
      <c r="B17" s="45" t="s">
        <v>395</v>
      </c>
      <c r="C17" s="522">
        <f>'[9]Table des Taux 2025'!D53</f>
        <v>11.88</v>
      </c>
      <c r="D17" s="1076" t="s">
        <v>886</v>
      </c>
      <c r="E17" s="1077"/>
      <c r="F17" s="439"/>
      <c r="G17" s="439"/>
    </row>
    <row r="18" spans="2:12" x14ac:dyDescent="0.25">
      <c r="J18" s="500">
        <v>45383</v>
      </c>
    </row>
    <row r="19" spans="2:12" ht="38.25" customHeight="1" x14ac:dyDescent="0.25">
      <c r="B19" s="1078" t="s">
        <v>718</v>
      </c>
      <c r="C19" s="1078"/>
      <c r="D19" s="1078"/>
      <c r="E19" s="1078"/>
      <c r="F19" s="1078"/>
      <c r="G19" s="1078"/>
      <c r="J19" s="500">
        <v>45778</v>
      </c>
    </row>
    <row r="20" spans="2:12" x14ac:dyDescent="0.25">
      <c r="B20" s="440" t="s">
        <v>396</v>
      </c>
      <c r="C20" s="441" t="s">
        <v>397</v>
      </c>
      <c r="D20" s="441" t="s">
        <v>398</v>
      </c>
      <c r="E20" s="441" t="s">
        <v>399</v>
      </c>
      <c r="F20" s="441" t="s">
        <v>400</v>
      </c>
      <c r="G20" s="441" t="s">
        <v>401</v>
      </c>
      <c r="L20">
        <f>IF(J18&lt;J19,1,0)</f>
        <v>1</v>
      </c>
    </row>
    <row r="21" spans="2:12" ht="48.6" customHeight="1" x14ac:dyDescent="0.25">
      <c r="B21" s="442" t="s">
        <v>402</v>
      </c>
      <c r="C21" s="1067" t="s">
        <v>403</v>
      </c>
      <c r="D21" s="1068"/>
      <c r="E21" s="443" t="s">
        <v>404</v>
      </c>
      <c r="F21" s="501" t="s">
        <v>887</v>
      </c>
      <c r="G21" s="443" t="s">
        <v>405</v>
      </c>
    </row>
    <row r="22" spans="2:12" ht="38.25" customHeight="1" x14ac:dyDescent="0.25">
      <c r="B22" s="546" t="s">
        <v>435</v>
      </c>
      <c r="C22" s="444" t="s">
        <v>719</v>
      </c>
      <c r="D22" s="547" t="s">
        <v>888</v>
      </c>
      <c r="E22" s="445">
        <f>[10]ENONCE!C22</f>
        <v>2600</v>
      </c>
      <c r="F22" s="504">
        <f>IF(B22="202N-1",1.4*$C$17*151.67,1.4*151.67*$C$16)</f>
        <v>2552.3027599999996</v>
      </c>
      <c r="G22" s="447">
        <f>MIN(F22,E22)</f>
        <v>2552.3027599999996</v>
      </c>
    </row>
    <row r="23" spans="2:12" ht="38.25" customHeight="1" x14ac:dyDescent="0.25">
      <c r="B23" s="546" t="s">
        <v>406</v>
      </c>
      <c r="C23" s="444" t="s">
        <v>720</v>
      </c>
      <c r="D23" s="547" t="s">
        <v>487</v>
      </c>
      <c r="E23" s="445">
        <f>[10]ENONCE!C21</f>
        <v>2200</v>
      </c>
      <c r="F23" s="504">
        <f>IF(B22="202N-1",1.4*$C$17*151.67,1.4*151.67*$C$16)</f>
        <v>2552.3027599999996</v>
      </c>
      <c r="G23" s="447">
        <f>MIN(F23,E23)</f>
        <v>2200</v>
      </c>
    </row>
    <row r="24" spans="2:12" ht="38.25" customHeight="1" x14ac:dyDescent="0.25">
      <c r="B24" s="546" t="s">
        <v>406</v>
      </c>
      <c r="C24" s="444" t="s">
        <v>407</v>
      </c>
      <c r="D24" s="547" t="s">
        <v>740</v>
      </c>
      <c r="E24" s="445">
        <f>[10]ENONCE!C20</f>
        <v>2200</v>
      </c>
      <c r="F24" s="504">
        <f>IF(B22="202N-1",1.4*$C$17*151.67,1.4*151.67*$C$16)</f>
        <v>2552.3027599999996</v>
      </c>
      <c r="G24" s="447">
        <f>MIN(F24,E24)</f>
        <v>2200</v>
      </c>
    </row>
    <row r="25" spans="2:12" ht="38.25" customHeight="1" x14ac:dyDescent="0.25">
      <c r="B25" s="448"/>
      <c r="D25" s="449"/>
      <c r="E25" s="449"/>
      <c r="F25" s="450" t="s">
        <v>86</v>
      </c>
      <c r="G25" s="445">
        <f>SUM(G22:G24)</f>
        <v>6952.3027599999996</v>
      </c>
    </row>
    <row r="26" spans="2:12" ht="38.25" customHeight="1" x14ac:dyDescent="0.25">
      <c r="B26" s="448"/>
      <c r="C26" s="448"/>
      <c r="D26" s="439"/>
      <c r="E26" s="439"/>
      <c r="F26" s="444" t="s">
        <v>408</v>
      </c>
      <c r="G26" s="445">
        <f>ROUND(G25*0.5/91.25,6)</f>
        <v>38.094810000000003</v>
      </c>
    </row>
    <row r="27" spans="2:12" ht="38.25" customHeight="1" x14ac:dyDescent="0.25">
      <c r="B27" s="448"/>
      <c r="C27" s="448"/>
      <c r="D27" s="439"/>
      <c r="E27" s="439"/>
      <c r="F27" s="451" t="s">
        <v>409</v>
      </c>
      <c r="G27" s="452">
        <f>C11</f>
        <v>43</v>
      </c>
    </row>
    <row r="28" spans="2:12" ht="38.25" customHeight="1" x14ac:dyDescent="0.25">
      <c r="B28" s="448"/>
      <c r="C28" s="448"/>
      <c r="D28" s="439"/>
      <c r="E28" s="439"/>
      <c r="F28" s="444" t="s">
        <v>410</v>
      </c>
      <c r="G28" s="445">
        <f>ROUND(G26*G27,2)</f>
        <v>1638.08</v>
      </c>
    </row>
    <row r="29" spans="2:12" ht="38.25" customHeight="1" x14ac:dyDescent="0.25">
      <c r="B29" s="448"/>
      <c r="C29" s="448"/>
      <c r="D29" s="439"/>
      <c r="E29" s="439"/>
      <c r="F29" s="444" t="s">
        <v>411</v>
      </c>
      <c r="G29" s="445">
        <f>ROUND(G28*0.933,2)</f>
        <v>1528.33</v>
      </c>
    </row>
    <row r="30" spans="2:12" ht="38.25" customHeight="1" x14ac:dyDescent="0.25">
      <c r="B30" s="448"/>
      <c r="C30" s="448"/>
      <c r="D30" s="439"/>
      <c r="E30" s="439"/>
      <c r="F30" s="505" t="s">
        <v>412</v>
      </c>
      <c r="G30" s="445">
        <f>G28*2.9%</f>
        <v>47.504319999999993</v>
      </c>
      <c r="H30" s="696" t="s">
        <v>413</v>
      </c>
      <c r="I30" s="945"/>
    </row>
    <row r="31" spans="2:12" ht="38.25" customHeight="1" x14ac:dyDescent="0.25">
      <c r="F31" s="505" t="s">
        <v>414</v>
      </c>
      <c r="G31" s="445">
        <f>G28*3.8%</f>
        <v>62.247039999999998</v>
      </c>
      <c r="H31" s="696"/>
      <c r="I31" s="945"/>
    </row>
    <row r="32" spans="2:12" ht="105" customHeight="1" x14ac:dyDescent="0.25"/>
    <row r="33" spans="2:7" ht="33.75" customHeight="1" x14ac:dyDescent="0.25">
      <c r="B33" s="1069" t="s">
        <v>415</v>
      </c>
      <c r="C33" s="1070"/>
      <c r="D33" s="1070"/>
      <c r="E33" s="1070"/>
      <c r="F33" s="1070"/>
      <c r="G33" s="1071"/>
    </row>
    <row r="34" spans="2:7" ht="33" customHeight="1" x14ac:dyDescent="0.25">
      <c r="B34" s="506" t="s">
        <v>383</v>
      </c>
      <c r="C34" s="507">
        <f>C4</f>
        <v>46122</v>
      </c>
      <c r="D34" s="454"/>
      <c r="E34" s="454"/>
      <c r="F34" s="454"/>
      <c r="G34" s="52"/>
    </row>
    <row r="35" spans="2:7" ht="33" customHeight="1" x14ac:dyDescent="0.25">
      <c r="B35" s="140" t="s">
        <v>384</v>
      </c>
      <c r="C35" s="453">
        <f>C5</f>
        <v>46167</v>
      </c>
      <c r="D35" s="454"/>
      <c r="E35" s="454"/>
      <c r="F35" s="454"/>
      <c r="G35" s="7"/>
    </row>
    <row r="36" spans="2:7" ht="33" customHeight="1" x14ac:dyDescent="0.25">
      <c r="B36" s="140" t="s">
        <v>385</v>
      </c>
      <c r="C36" s="453">
        <f>C6</f>
        <v>46113</v>
      </c>
      <c r="D36" s="436"/>
      <c r="E36" s="436"/>
      <c r="F36" s="436"/>
      <c r="G36" s="106"/>
    </row>
    <row r="37" spans="2:7" ht="33" customHeight="1" x14ac:dyDescent="0.25">
      <c r="B37" s="140" t="s">
        <v>386</v>
      </c>
      <c r="C37" s="453" t="str">
        <f>C7</f>
        <v>31/04/2026</v>
      </c>
      <c r="D37" s="436"/>
      <c r="E37" s="436"/>
      <c r="F37" s="436"/>
      <c r="G37" s="106"/>
    </row>
    <row r="38" spans="2:7" ht="33" customHeight="1" x14ac:dyDescent="0.25">
      <c r="B38" s="140" t="s">
        <v>416</v>
      </c>
      <c r="C38" s="455">
        <f>C8</f>
        <v>0</v>
      </c>
      <c r="D38" s="106"/>
      <c r="E38" s="106"/>
      <c r="F38" s="106"/>
      <c r="G38" s="106"/>
    </row>
    <row r="39" spans="2:7" ht="33.75" customHeight="1" x14ac:dyDescent="0.25">
      <c r="B39" s="456" t="s">
        <v>388</v>
      </c>
      <c r="C39" s="456">
        <f>C35-C34+1</f>
        <v>46</v>
      </c>
      <c r="D39" s="106"/>
      <c r="E39" s="106"/>
      <c r="F39" s="106"/>
      <c r="G39" s="106"/>
    </row>
    <row r="40" spans="2:7" ht="33.75" customHeight="1" x14ac:dyDescent="0.25">
      <c r="B40" s="457" t="s">
        <v>417</v>
      </c>
      <c r="C40" s="457">
        <f ca="1">SUMPRODUCT((WEEKDAY(ROW(INDIRECT(C$34&amp;":"&amp;C$35)))=7)*1)</f>
        <v>7</v>
      </c>
      <c r="D40" s="106"/>
      <c r="E40" s="106"/>
      <c r="F40" s="106"/>
      <c r="G40" s="106"/>
    </row>
    <row r="41" spans="2:7" ht="33.75" customHeight="1" x14ac:dyDescent="0.25">
      <c r="B41" s="456" t="s">
        <v>418</v>
      </c>
      <c r="C41" s="456">
        <f>NETWORKDAYS(C34,C35)</f>
        <v>32</v>
      </c>
      <c r="D41" s="106"/>
      <c r="E41" s="106"/>
      <c r="F41" s="106"/>
      <c r="G41" s="106"/>
    </row>
    <row r="42" spans="2:7" ht="33.75" customHeight="1" x14ac:dyDescent="0.25">
      <c r="B42" s="456" t="s">
        <v>419</v>
      </c>
      <c r="C42" s="456">
        <f ca="1">C39-C40</f>
        <v>39</v>
      </c>
      <c r="D42" s="106"/>
      <c r="E42" s="106"/>
      <c r="F42" s="106"/>
      <c r="G42" s="106"/>
    </row>
    <row r="43" spans="2:7" ht="33.75" customHeight="1" x14ac:dyDescent="0.25">
      <c r="B43" s="458" t="s">
        <v>420</v>
      </c>
      <c r="C43" s="458"/>
      <c r="D43" s="52"/>
      <c r="E43" s="52"/>
      <c r="F43" s="52"/>
      <c r="G43" s="52"/>
    </row>
    <row r="44" spans="2:7" ht="35.25" customHeight="1" x14ac:dyDescent="0.25">
      <c r="B44" s="458" t="s">
        <v>421</v>
      </c>
      <c r="C44" s="458"/>
      <c r="D44" s="52"/>
      <c r="E44" s="52"/>
      <c r="F44" s="52"/>
      <c r="G44" s="52"/>
    </row>
    <row r="45" spans="2:7" ht="38.25" customHeight="1" x14ac:dyDescent="0.25">
      <c r="B45" s="459" t="s">
        <v>422</v>
      </c>
      <c r="C45" s="456">
        <v>147</v>
      </c>
      <c r="D45" s="106"/>
      <c r="E45" s="106"/>
      <c r="F45" s="106"/>
      <c r="G45" s="106"/>
    </row>
    <row r="46" spans="2:7" ht="28.5" customHeight="1" x14ac:dyDescent="0.25">
      <c r="B46" s="457" t="s">
        <v>423</v>
      </c>
      <c r="C46" s="457" t="e">
        <f>NETWORKDAYS(C36,C37)</f>
        <v>#VALUE!</v>
      </c>
      <c r="D46" s="106"/>
      <c r="E46" s="106"/>
      <c r="F46" s="106"/>
      <c r="G46" s="106"/>
    </row>
    <row r="47" spans="2:7" ht="41.25" customHeight="1" x14ac:dyDescent="0.25">
      <c r="B47" s="456" t="s">
        <v>424</v>
      </c>
      <c r="C47" s="456" t="e">
        <f>ROUND(C38*C41/C46,2)</f>
        <v>#VALUE!</v>
      </c>
      <c r="D47" s="106"/>
      <c r="E47" s="106"/>
      <c r="F47" s="106"/>
      <c r="G47" s="106"/>
    </row>
    <row r="48" spans="2:7" ht="36" customHeight="1" x14ac:dyDescent="0.25">
      <c r="B48" s="456" t="s">
        <v>425</v>
      </c>
      <c r="C48" s="456">
        <f>ROUND(C38*C41/22,2)</f>
        <v>0</v>
      </c>
      <c r="D48" s="106"/>
      <c r="E48" s="106"/>
      <c r="F48" s="106"/>
      <c r="G48" s="106"/>
    </row>
    <row r="49" spans="2:7" ht="39" customHeight="1" x14ac:dyDescent="0.25">
      <c r="B49" s="456" t="s">
        <v>426</v>
      </c>
      <c r="C49" s="456">
        <f>ROUND(C38*C41/21.67,2)</f>
        <v>0</v>
      </c>
      <c r="D49" s="106"/>
      <c r="E49" s="106"/>
      <c r="F49" s="106"/>
      <c r="G49" s="106"/>
    </row>
    <row r="50" spans="2:7" ht="35.25" customHeight="1" x14ac:dyDescent="0.25">
      <c r="B50" s="457" t="s">
        <v>427</v>
      </c>
      <c r="C50" s="457" t="e">
        <f>C37-C36+1</f>
        <v>#VALUE!</v>
      </c>
      <c r="D50" s="106"/>
      <c r="E50" s="106"/>
      <c r="F50" s="106"/>
      <c r="G50" s="106"/>
    </row>
    <row r="51" spans="2:7" ht="36" customHeight="1" x14ac:dyDescent="0.25">
      <c r="B51" s="456" t="s">
        <v>428</v>
      </c>
      <c r="C51" s="456" t="e">
        <f>ROUND(C38*C39/C50,2)</f>
        <v>#VALUE!</v>
      </c>
      <c r="D51" s="106"/>
      <c r="E51" s="106"/>
      <c r="F51" s="106"/>
      <c r="G51" s="106"/>
    </row>
    <row r="52" spans="2:7" ht="36" customHeight="1" x14ac:dyDescent="0.25">
      <c r="B52" s="456" t="s">
        <v>429</v>
      </c>
      <c r="C52" s="456">
        <f>ROUND(C38*C39/30,2)</f>
        <v>0</v>
      </c>
      <c r="D52" s="106"/>
      <c r="E52" s="106"/>
      <c r="F52" s="106"/>
      <c r="G52" s="106"/>
    </row>
    <row r="53" spans="2:7" ht="39.75" customHeight="1" x14ac:dyDescent="0.25">
      <c r="B53" s="457" t="s">
        <v>430</v>
      </c>
      <c r="C53" s="457" t="e">
        <f ca="1">SUMPRODUCT((WEEKDAY(ROW(INDIRECT($C36&amp;":"&amp;$C37)))=7)*1)</f>
        <v>#REF!</v>
      </c>
      <c r="D53" s="106"/>
      <c r="E53" s="106"/>
      <c r="F53" s="106"/>
      <c r="G53" s="106"/>
    </row>
    <row r="54" spans="2:7" ht="39.75" customHeight="1" x14ac:dyDescent="0.25">
      <c r="B54" s="457" t="s">
        <v>431</v>
      </c>
      <c r="C54" s="457" t="e">
        <f ca="1">C50-C53</f>
        <v>#VALUE!</v>
      </c>
      <c r="D54" s="106"/>
      <c r="E54" s="106"/>
      <c r="F54" s="106"/>
      <c r="G54" s="106"/>
    </row>
    <row r="55" spans="2:7" ht="51.75" customHeight="1" x14ac:dyDescent="0.25">
      <c r="B55" s="456" t="s">
        <v>432</v>
      </c>
      <c r="C55" s="456" t="e">
        <f ca="1">ROUND(C38*C42/C54,2)</f>
        <v>#VALUE!</v>
      </c>
      <c r="D55" s="106"/>
      <c r="E55" s="106"/>
      <c r="F55" s="106"/>
      <c r="G55" s="106"/>
    </row>
    <row r="56" spans="2:7" ht="51.75" customHeight="1" x14ac:dyDescent="0.25">
      <c r="B56" s="456" t="s">
        <v>433</v>
      </c>
      <c r="C56" s="456">
        <f ca="1">ROUND(C38*C42/26,2)</f>
        <v>0</v>
      </c>
      <c r="D56" s="106"/>
      <c r="E56" s="106"/>
      <c r="F56" s="106"/>
      <c r="G56" s="106"/>
    </row>
    <row r="57" spans="2:7" ht="51.75" customHeight="1" x14ac:dyDescent="0.25"/>
    <row r="58" spans="2:7" ht="51.75" customHeight="1" x14ac:dyDescent="0.25"/>
    <row r="59" spans="2:7" ht="51.75" customHeight="1" x14ac:dyDescent="0.25"/>
    <row r="60" spans="2:7" ht="51.75" customHeight="1" x14ac:dyDescent="0.25"/>
    <row r="61" spans="2:7" ht="51.75" customHeight="1" x14ac:dyDescent="0.25"/>
    <row r="62" spans="2:7" ht="51.75" customHeight="1" x14ac:dyDescent="0.25"/>
    <row r="63" spans="2:7" ht="51.75" customHeight="1" x14ac:dyDescent="0.25"/>
  </sheetData>
  <mergeCells count="12">
    <mergeCell ref="H30:I31"/>
    <mergeCell ref="B33:G33"/>
    <mergeCell ref="B1:C1"/>
    <mergeCell ref="D1:G1"/>
    <mergeCell ref="B2:C2"/>
    <mergeCell ref="E3:E4"/>
    <mergeCell ref="F3:G4"/>
    <mergeCell ref="D11:F11"/>
    <mergeCell ref="D16:E16"/>
    <mergeCell ref="D17:E17"/>
    <mergeCell ref="B19:G19"/>
    <mergeCell ref="C21:D21"/>
  </mergeCells>
  <pageMargins left="0.7" right="0.7" top="0.75" bottom="0.75" header="0.3" footer="0.3"/>
  <pageSetup paperSize="9" orientation="portrait" horizontalDpi="4294967293" verticalDpi="0"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6"/>
  <sheetViews>
    <sheetView workbookViewId="0">
      <selection activeCell="D32" sqref="D32"/>
    </sheetView>
  </sheetViews>
  <sheetFormatPr baseColWidth="10" defaultRowHeight="28.5" customHeight="1" x14ac:dyDescent="0.25"/>
  <cols>
    <col min="1" max="1" width="17" customWidth="1"/>
    <col min="2" max="3" width="12.7109375" customWidth="1"/>
    <col min="4" max="4" width="13.42578125" customWidth="1"/>
    <col min="5" max="5" width="15.85546875" customWidth="1"/>
    <col min="6" max="6" width="12.42578125" customWidth="1"/>
    <col min="7" max="7" width="12.85546875" customWidth="1"/>
    <col min="8" max="8" width="11.140625" customWidth="1"/>
    <col min="9" max="9" width="14.5703125" customWidth="1"/>
    <col min="10" max="10" width="14.140625" customWidth="1"/>
  </cols>
  <sheetData>
    <row r="1" spans="1:10" ht="28.5" customHeight="1" x14ac:dyDescent="0.25">
      <c r="A1" s="1063" t="s">
        <v>721</v>
      </c>
      <c r="B1" s="1063"/>
      <c r="C1" s="1063"/>
      <c r="D1" s="1063"/>
      <c r="E1" s="1063"/>
      <c r="F1" s="1063"/>
      <c r="G1" s="1063"/>
    </row>
    <row r="2" spans="1:10" ht="28.5" customHeight="1" x14ac:dyDescent="0.25">
      <c r="A2" s="1079" t="s">
        <v>722</v>
      </c>
      <c r="B2" s="1079"/>
      <c r="C2" s="1079"/>
      <c r="D2" s="1079"/>
      <c r="E2" s="1079"/>
      <c r="F2" s="1079"/>
      <c r="G2" s="1079"/>
    </row>
    <row r="3" spans="1:10" ht="28.5" customHeight="1" x14ac:dyDescent="0.25">
      <c r="A3" s="1080" t="s">
        <v>723</v>
      </c>
      <c r="B3" s="1080"/>
      <c r="C3" s="1080"/>
      <c r="D3" s="1080"/>
      <c r="E3" s="1080"/>
      <c r="F3" s="1080"/>
      <c r="G3" s="1080"/>
    </row>
    <row r="4" spans="1:10" ht="28.5" customHeight="1" x14ac:dyDescent="0.25">
      <c r="A4" s="548" t="s">
        <v>724</v>
      </c>
      <c r="B4" s="549">
        <v>2026</v>
      </c>
      <c r="C4" s="550"/>
      <c r="D4" s="550"/>
      <c r="E4" s="550"/>
      <c r="F4" s="550"/>
      <c r="G4" s="550"/>
    </row>
    <row r="5" spans="1:10" ht="28.5" customHeight="1" x14ac:dyDescent="0.25">
      <c r="A5" s="551" t="s">
        <v>725</v>
      </c>
      <c r="B5" s="552">
        <v>2025</v>
      </c>
    </row>
    <row r="6" spans="1:10" ht="28.5" customHeight="1" x14ac:dyDescent="0.25">
      <c r="A6" s="434" t="s">
        <v>726</v>
      </c>
      <c r="B6" s="553">
        <v>3965</v>
      </c>
    </row>
    <row r="7" spans="1:10" ht="28.5" customHeight="1" x14ac:dyDescent="0.25">
      <c r="A7" s="434" t="s">
        <v>727</v>
      </c>
      <c r="B7" s="553">
        <v>4005</v>
      </c>
    </row>
    <row r="8" spans="1:10" ht="28.5" customHeight="1" x14ac:dyDescent="0.25">
      <c r="A8" s="434" t="s">
        <v>383</v>
      </c>
      <c r="B8" s="435">
        <v>46050</v>
      </c>
      <c r="C8" s="436"/>
      <c r="D8" s="436"/>
      <c r="F8" s="436"/>
      <c r="G8" s="436"/>
    </row>
    <row r="9" spans="1:10" ht="28.5" customHeight="1" x14ac:dyDescent="0.25">
      <c r="A9" s="434" t="s">
        <v>384</v>
      </c>
      <c r="B9" s="435">
        <v>46189</v>
      </c>
      <c r="C9" s="436"/>
      <c r="D9" s="436"/>
      <c r="F9" s="436"/>
      <c r="G9" s="436"/>
      <c r="I9" s="554"/>
      <c r="J9" s="436"/>
    </row>
    <row r="10" spans="1:10" ht="28.5" customHeight="1" x14ac:dyDescent="0.25">
      <c r="A10" s="434" t="s">
        <v>385</v>
      </c>
      <c r="B10" s="435">
        <v>46023</v>
      </c>
      <c r="C10" s="436"/>
      <c r="D10" s="436"/>
      <c r="E10" s="436"/>
      <c r="F10" s="436"/>
      <c r="G10" s="436"/>
      <c r="I10" s="554"/>
      <c r="J10" s="436"/>
    </row>
    <row r="11" spans="1:10" ht="28.5" customHeight="1" x14ac:dyDescent="0.25">
      <c r="A11" s="434" t="s">
        <v>386</v>
      </c>
      <c r="B11" s="435">
        <v>46053</v>
      </c>
      <c r="C11" s="436"/>
      <c r="D11" s="436"/>
      <c r="E11" s="436"/>
      <c r="F11" s="436"/>
      <c r="G11" s="436"/>
    </row>
    <row r="12" spans="1:10" ht="28.5" customHeight="1" x14ac:dyDescent="0.25">
      <c r="A12" s="434" t="s">
        <v>388</v>
      </c>
      <c r="B12" s="45">
        <f>B9-B8+1</f>
        <v>140</v>
      </c>
      <c r="C12" s="106"/>
      <c r="D12" s="106"/>
      <c r="E12" s="106"/>
      <c r="F12" s="106"/>
      <c r="G12" s="106"/>
    </row>
    <row r="13" spans="1:10" ht="28.5" customHeight="1" x14ac:dyDescent="0.25">
      <c r="A13" s="434" t="s">
        <v>389</v>
      </c>
      <c r="B13" s="45">
        <v>0</v>
      </c>
      <c r="C13" s="106"/>
      <c r="D13" s="106"/>
      <c r="E13" s="106"/>
      <c r="F13" s="106"/>
      <c r="G13" s="106"/>
    </row>
    <row r="14" spans="1:10" ht="28.5" customHeight="1" x14ac:dyDescent="0.25">
      <c r="A14" s="434" t="s">
        <v>390</v>
      </c>
      <c r="B14" s="45">
        <f>B12-B13</f>
        <v>140</v>
      </c>
      <c r="C14" s="106"/>
      <c r="D14" s="106"/>
      <c r="E14" s="106"/>
      <c r="F14" s="106"/>
      <c r="G14" s="106"/>
    </row>
    <row r="15" spans="1:10" ht="28.5" customHeight="1" x14ac:dyDescent="0.25">
      <c r="A15" s="434" t="s">
        <v>393</v>
      </c>
      <c r="B15" s="45">
        <f>NETWORKDAYS(B8,B9)</f>
        <v>100</v>
      </c>
      <c r="C15" s="106"/>
      <c r="F15" s="106"/>
      <c r="G15" s="106"/>
    </row>
    <row r="16" spans="1:10" ht="28.5" customHeight="1" x14ac:dyDescent="0.25">
      <c r="A16" s="434" t="s">
        <v>391</v>
      </c>
      <c r="B16" s="45">
        <f ca="1">SUMPRODUCT((WEEKDAY(ROW(INDIRECT(B$8&amp;":"&amp;B$9)))=7)*1)</f>
        <v>20</v>
      </c>
      <c r="C16" s="106"/>
      <c r="D16" s="106"/>
      <c r="E16" s="106"/>
      <c r="F16" s="106"/>
      <c r="G16" s="106"/>
    </row>
    <row r="17" spans="1:11" ht="28.5" customHeight="1" x14ac:dyDescent="0.25">
      <c r="A17" s="434" t="s">
        <v>392</v>
      </c>
      <c r="B17" s="45">
        <f ca="1">+B15+B16</f>
        <v>120</v>
      </c>
      <c r="C17" s="106"/>
      <c r="D17" s="106"/>
      <c r="E17" s="106"/>
      <c r="F17" s="106"/>
      <c r="G17" s="106"/>
    </row>
    <row r="18" spans="1:11" ht="28.5" customHeight="1" x14ac:dyDescent="0.25">
      <c r="C18" s="106"/>
      <c r="D18" s="106"/>
      <c r="E18" s="106"/>
      <c r="F18" s="106"/>
      <c r="G18" s="106"/>
    </row>
    <row r="19" spans="1:11" ht="28.5" customHeight="1" x14ac:dyDescent="0.25">
      <c r="C19" s="439"/>
      <c r="D19" s="439"/>
      <c r="E19" s="439"/>
      <c r="F19" s="439"/>
      <c r="G19" s="439"/>
      <c r="H19" s="439"/>
    </row>
    <row r="20" spans="1:11" ht="28.5" customHeight="1" x14ac:dyDescent="0.25">
      <c r="A20" s="554"/>
      <c r="C20" s="439"/>
      <c r="D20" s="439"/>
      <c r="E20" s="439"/>
      <c r="F20" s="439"/>
      <c r="G20" s="439"/>
      <c r="H20" s="439"/>
    </row>
    <row r="21" spans="1:11" ht="28.5" customHeight="1" x14ac:dyDescent="0.25">
      <c r="A21" s="1082" t="s">
        <v>728</v>
      </c>
      <c r="B21" s="1082"/>
      <c r="C21" s="1082"/>
      <c r="D21" s="1082"/>
      <c r="E21" s="1082"/>
      <c r="F21" s="1082"/>
      <c r="G21" s="1082"/>
      <c r="H21" s="1082"/>
      <c r="I21" s="1082"/>
      <c r="J21" s="1082"/>
    </row>
    <row r="22" spans="1:11" ht="28.5" customHeight="1" x14ac:dyDescent="0.25">
      <c r="A22" s="555" t="s">
        <v>396</v>
      </c>
      <c r="B22" s="555" t="s">
        <v>397</v>
      </c>
      <c r="C22" s="555" t="s">
        <v>398</v>
      </c>
      <c r="D22" s="555" t="s">
        <v>399</v>
      </c>
      <c r="E22" s="555" t="s">
        <v>400</v>
      </c>
      <c r="F22" s="556" t="s">
        <v>401</v>
      </c>
      <c r="G22" s="556" t="s">
        <v>729</v>
      </c>
      <c r="H22" s="557" t="s">
        <v>730</v>
      </c>
      <c r="I22" s="557" t="s">
        <v>731</v>
      </c>
      <c r="J22" s="556" t="s">
        <v>732</v>
      </c>
    </row>
    <row r="23" spans="1:11" ht="28.5" customHeight="1" x14ac:dyDescent="0.25">
      <c r="A23" s="558" t="s">
        <v>402</v>
      </c>
      <c r="B23" s="1083" t="s">
        <v>733</v>
      </c>
      <c r="C23" s="1084"/>
      <c r="D23" s="501" t="s">
        <v>404</v>
      </c>
      <c r="E23" s="501" t="s">
        <v>734</v>
      </c>
      <c r="F23" s="501" t="s">
        <v>735</v>
      </c>
      <c r="G23" s="501" t="s">
        <v>736</v>
      </c>
      <c r="H23" s="501" t="s">
        <v>405</v>
      </c>
      <c r="I23" s="559" t="s">
        <v>737</v>
      </c>
      <c r="J23" s="560">
        <f>B8</f>
        <v>46050</v>
      </c>
    </row>
    <row r="24" spans="1:11" ht="28.5" customHeight="1" x14ac:dyDescent="0.25">
      <c r="A24" s="561">
        <v>2025</v>
      </c>
      <c r="B24" s="562" t="s">
        <v>719</v>
      </c>
      <c r="C24" s="563" t="s">
        <v>738</v>
      </c>
      <c r="D24" s="564">
        <v>4000</v>
      </c>
      <c r="E24" s="565">
        <f>D24*0.79</f>
        <v>3160</v>
      </c>
      <c r="F24" s="565">
        <f>+IF(A24=B4,B7,B6)</f>
        <v>3965</v>
      </c>
      <c r="G24" s="565">
        <f>F24*0.79</f>
        <v>3132.3500000000004</v>
      </c>
      <c r="H24" s="566">
        <f>MIN(E24,G24)</f>
        <v>3132.3500000000004</v>
      </c>
      <c r="I24" s="567" t="s">
        <v>384</v>
      </c>
      <c r="J24" s="568">
        <f>B9</f>
        <v>46189</v>
      </c>
    </row>
    <row r="25" spans="1:11" ht="28.5" customHeight="1" x14ac:dyDescent="0.25">
      <c r="A25" s="561">
        <v>2025</v>
      </c>
      <c r="B25" s="562" t="s">
        <v>720</v>
      </c>
      <c r="C25" s="563" t="s">
        <v>740</v>
      </c>
      <c r="D25" s="564">
        <v>3500</v>
      </c>
      <c r="E25" s="565">
        <f>D25*0.79</f>
        <v>2765</v>
      </c>
      <c r="F25" s="565">
        <f>F24</f>
        <v>3965</v>
      </c>
      <c r="G25" s="565">
        <f>F25*0.79</f>
        <v>3132.3500000000004</v>
      </c>
      <c r="H25" s="566">
        <f>MIN(E25,G25)</f>
        <v>2765</v>
      </c>
      <c r="I25" s="569" t="s">
        <v>739</v>
      </c>
      <c r="J25" s="569">
        <f>J24-J23+1</f>
        <v>140</v>
      </c>
    </row>
    <row r="26" spans="1:11" ht="28.5" customHeight="1" x14ac:dyDescent="0.25">
      <c r="A26" s="561">
        <v>2025</v>
      </c>
      <c r="B26" s="562" t="s">
        <v>407</v>
      </c>
      <c r="C26" s="563" t="s">
        <v>889</v>
      </c>
      <c r="D26" s="564">
        <v>3500</v>
      </c>
      <c r="E26" s="565">
        <f>D26*0.79</f>
        <v>2765</v>
      </c>
      <c r="F26" s="565">
        <f>F24</f>
        <v>3965</v>
      </c>
      <c r="G26" s="565">
        <f>F26*0.79</f>
        <v>3132.3500000000004</v>
      </c>
      <c r="H26" s="566">
        <f>MIN(E26,G26)</f>
        <v>2765</v>
      </c>
      <c r="I26" s="569" t="s">
        <v>389</v>
      </c>
      <c r="J26" s="569">
        <v>0</v>
      </c>
    </row>
    <row r="27" spans="1:11" ht="28.5" customHeight="1" x14ac:dyDescent="0.25">
      <c r="A27" s="448"/>
      <c r="B27" s="448"/>
      <c r="C27" s="449"/>
      <c r="D27" s="449"/>
      <c r="E27" s="449"/>
      <c r="F27" s="449"/>
      <c r="G27" s="570" t="s">
        <v>86</v>
      </c>
      <c r="H27" s="571">
        <f>SUM(H24:H26)</f>
        <v>8662.35</v>
      </c>
      <c r="I27" s="572" t="s">
        <v>390</v>
      </c>
      <c r="J27" s="572">
        <f>J25-J26</f>
        <v>140</v>
      </c>
    </row>
    <row r="28" spans="1:11" ht="28.5" customHeight="1" x14ac:dyDescent="0.25">
      <c r="A28" s="448" t="s">
        <v>741</v>
      </c>
      <c r="B28" s="448"/>
      <c r="C28" s="439"/>
      <c r="D28" s="439"/>
      <c r="E28" s="439"/>
      <c r="F28" s="1081" t="s">
        <v>408</v>
      </c>
      <c r="G28" s="1081"/>
      <c r="H28" s="573">
        <f>ROUND(H27/91.25,2)</f>
        <v>94.93</v>
      </c>
      <c r="I28" s="574"/>
      <c r="J28" s="523"/>
    </row>
    <row r="29" spans="1:11" ht="28.5" customHeight="1" x14ac:dyDescent="0.25">
      <c r="A29" s="448"/>
      <c r="B29" s="448"/>
      <c r="C29" s="439"/>
      <c r="D29" s="439"/>
      <c r="E29" s="439"/>
      <c r="F29" s="1085" t="s">
        <v>409</v>
      </c>
      <c r="G29" s="1085"/>
      <c r="H29" s="575">
        <f>J27</f>
        <v>140</v>
      </c>
      <c r="I29" s="576"/>
      <c r="J29" s="523"/>
    </row>
    <row r="30" spans="1:11" ht="28.5" customHeight="1" x14ac:dyDescent="0.25">
      <c r="A30" s="448"/>
      <c r="B30" s="448"/>
      <c r="C30" s="439"/>
      <c r="D30" s="439"/>
      <c r="E30" s="439"/>
      <c r="F30" s="1081" t="s">
        <v>436</v>
      </c>
      <c r="G30" s="1081"/>
      <c r="H30" s="573">
        <f>ROUND(H28*H29,2)</f>
        <v>13290.2</v>
      </c>
      <c r="I30" s="523"/>
      <c r="J30" s="523"/>
    </row>
    <row r="31" spans="1:11" ht="28.5" customHeight="1" x14ac:dyDescent="0.25">
      <c r="A31" s="448"/>
      <c r="B31" s="448"/>
      <c r="C31" s="439"/>
      <c r="D31" s="439"/>
      <c r="E31" s="439"/>
      <c r="F31" s="1081" t="s">
        <v>742</v>
      </c>
      <c r="G31" s="1081"/>
      <c r="H31" s="571">
        <f>H30*3.8%</f>
        <v>505.02760000000001</v>
      </c>
      <c r="I31" s="523"/>
      <c r="J31" s="574"/>
      <c r="K31" s="577"/>
    </row>
    <row r="32" spans="1:11" ht="28.5" customHeight="1" x14ac:dyDescent="0.25">
      <c r="A32" s="448"/>
      <c r="B32" s="448"/>
      <c r="C32" s="439"/>
      <c r="D32" s="439"/>
      <c r="E32" s="439"/>
      <c r="F32" s="1081" t="s">
        <v>743</v>
      </c>
      <c r="G32" s="1081"/>
      <c r="H32" s="571">
        <f>H30*2.9%</f>
        <v>385.41579999999999</v>
      </c>
      <c r="I32" s="523"/>
      <c r="J32" s="523"/>
    </row>
    <row r="33" spans="4:10" ht="28.5" customHeight="1" x14ac:dyDescent="0.25">
      <c r="F33" s="1081" t="s">
        <v>744</v>
      </c>
      <c r="G33" s="1081"/>
      <c r="H33" s="573">
        <f>H30-H31-H32</f>
        <v>12399.756600000001</v>
      </c>
      <c r="I33" s="183"/>
      <c r="J33" s="183"/>
    </row>
    <row r="34" spans="4:10" ht="28.5" customHeight="1" x14ac:dyDescent="0.25">
      <c r="D34" t="s">
        <v>745</v>
      </c>
      <c r="F34" s="1081" t="s">
        <v>746</v>
      </c>
      <c r="G34" s="1081"/>
      <c r="H34" s="571">
        <f>H30-H31</f>
        <v>12785.172400000001</v>
      </c>
    </row>
    <row r="35" spans="4:10" ht="28.5" customHeight="1" x14ac:dyDescent="0.25">
      <c r="G35" s="574"/>
      <c r="H35" s="574"/>
    </row>
    <row r="36" spans="4:10" ht="28.5" customHeight="1" x14ac:dyDescent="0.25">
      <c r="G36" s="577"/>
      <c r="H36" s="577"/>
    </row>
  </sheetData>
  <mergeCells count="12">
    <mergeCell ref="F33:G33"/>
    <mergeCell ref="F34:G34"/>
    <mergeCell ref="A21:J21"/>
    <mergeCell ref="B23:C23"/>
    <mergeCell ref="F28:G28"/>
    <mergeCell ref="F29:G29"/>
    <mergeCell ref="F30:G30"/>
    <mergeCell ref="A1:G1"/>
    <mergeCell ref="A2:G2"/>
    <mergeCell ref="A3:G3"/>
    <mergeCell ref="F31:G31"/>
    <mergeCell ref="F32:G32"/>
  </mergeCells>
  <conditionalFormatting sqref="A2:G2 C4:G4 A3">
    <cfRule type="dataBar" priority="1">
      <dataBar>
        <cfvo type="min"/>
        <cfvo type="max"/>
        <color rgb="FF008AEF"/>
      </dataBar>
      <extLst>
        <ext xmlns:x14="http://schemas.microsoft.com/office/spreadsheetml/2009/9/main" uri="{B025F937-C7B1-47D3-B67F-A62EFF666E3E}">
          <x14:id>{DF09B6C3-BC5D-46F4-A3B1-8F7C7DC4C132}</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DF09B6C3-BC5D-46F4-A3B1-8F7C7DC4C132}">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2578125" defaultRowHeight="15" x14ac:dyDescent="0.25"/>
  <cols>
    <col min="1" max="1" width="9.42578125" style="58" customWidth="1"/>
    <col min="2" max="2" width="54.28515625" style="58" customWidth="1"/>
    <col min="3" max="3" width="21.85546875" style="589" customWidth="1"/>
    <col min="4" max="4" width="16.28515625" style="58" customWidth="1"/>
    <col min="5" max="5" width="18.28515625" style="58" customWidth="1"/>
    <col min="6" max="6" width="15.5703125" style="58" customWidth="1"/>
    <col min="7" max="7" width="11.42578125" style="58"/>
    <col min="8" max="8" width="15.7109375" style="58" customWidth="1"/>
    <col min="9" max="10" width="23.28515625" style="58" customWidth="1"/>
    <col min="11" max="16384" width="11.42578125" style="58"/>
  </cols>
  <sheetData>
    <row r="1" spans="1:11" ht="22.15" customHeight="1" x14ac:dyDescent="0.25">
      <c r="B1" s="998" t="s">
        <v>747</v>
      </c>
      <c r="C1" s="998"/>
    </row>
    <row r="2" spans="1:11" ht="22.15" customHeight="1" x14ac:dyDescent="0.25">
      <c r="B2" s="37" t="s">
        <v>375</v>
      </c>
      <c r="C2" s="578"/>
      <c r="E2" s="61"/>
      <c r="F2" s="61"/>
      <c r="G2" s="61"/>
      <c r="J2" s="61"/>
      <c r="K2" s="61"/>
    </row>
    <row r="3" spans="1:11" ht="22.15" customHeight="1" x14ac:dyDescent="0.25">
      <c r="B3" s="37" t="s">
        <v>748</v>
      </c>
      <c r="C3" s="578"/>
      <c r="E3" s="61"/>
      <c r="F3" s="61"/>
      <c r="G3" s="61"/>
      <c r="J3" s="61"/>
      <c r="K3" s="61"/>
    </row>
    <row r="4" spans="1:11" ht="22.15" customHeight="1" x14ac:dyDescent="0.25">
      <c r="A4" s="1049" t="s">
        <v>280</v>
      </c>
      <c r="B4" s="742" t="s">
        <v>749</v>
      </c>
      <c r="C4" s="1086"/>
    </row>
    <row r="5" spans="1:11" ht="22.15" customHeight="1" x14ac:dyDescent="0.25">
      <c r="A5" s="1051"/>
      <c r="B5" s="742"/>
      <c r="C5" s="1086"/>
    </row>
    <row r="6" spans="1:11" ht="22.15" customHeight="1" x14ac:dyDescent="0.25">
      <c r="A6" s="1087" t="s">
        <v>247</v>
      </c>
      <c r="B6" s="1088" t="s">
        <v>750</v>
      </c>
      <c r="C6" s="1086"/>
    </row>
    <row r="7" spans="1:11" ht="78.599999999999994" customHeight="1" x14ac:dyDescent="0.25">
      <c r="A7" s="1087"/>
      <c r="B7" s="1089"/>
      <c r="C7" s="1086"/>
    </row>
    <row r="8" spans="1:11" ht="22.15" customHeight="1" x14ac:dyDescent="0.25">
      <c r="A8" s="424" t="s">
        <v>212</v>
      </c>
      <c r="B8" s="531" t="s">
        <v>751</v>
      </c>
      <c r="C8" s="578"/>
    </row>
    <row r="9" spans="1:11" x14ac:dyDescent="0.25">
      <c r="A9" s="1090" t="s">
        <v>248</v>
      </c>
      <c r="B9" s="1049" t="s">
        <v>752</v>
      </c>
      <c r="C9" s="1092">
        <f>IF(C6=0,0,IF(C6=1,C8/12,IF(C6=2,C8/6,IF(C6=3,C8/3,IF(C6=4,C8/2)))))</f>
        <v>0</v>
      </c>
    </row>
    <row r="10" spans="1:11" x14ac:dyDescent="0.25">
      <c r="A10" s="1091"/>
      <c r="B10" s="1051"/>
      <c r="C10" s="1092"/>
    </row>
    <row r="11" spans="1:11" x14ac:dyDescent="0.25">
      <c r="A11" s="1090" t="s">
        <v>249</v>
      </c>
      <c r="B11" s="1049" t="s">
        <v>753</v>
      </c>
      <c r="C11" s="1093">
        <f>C4+C9</f>
        <v>0</v>
      </c>
    </row>
    <row r="12" spans="1:11" x14ac:dyDescent="0.25">
      <c r="A12" s="1091"/>
      <c r="B12" s="1051"/>
      <c r="C12" s="1093"/>
    </row>
    <row r="13" spans="1:11" x14ac:dyDescent="0.25">
      <c r="A13" s="1090" t="s">
        <v>248</v>
      </c>
      <c r="B13" s="1095" t="s">
        <v>754</v>
      </c>
      <c r="C13" s="1093">
        <f>C11/30.42</f>
        <v>0</v>
      </c>
      <c r="D13" s="729"/>
    </row>
    <row r="14" spans="1:11" x14ac:dyDescent="0.25">
      <c r="A14" s="1091"/>
      <c r="B14" s="1096"/>
      <c r="C14" s="1093"/>
      <c r="D14" s="729"/>
    </row>
    <row r="15" spans="1:11" x14ac:dyDescent="0.25">
      <c r="B15" s="579" t="s">
        <v>755</v>
      </c>
      <c r="C15" s="580"/>
      <c r="F15" s="729"/>
      <c r="G15" s="729"/>
      <c r="H15" s="1094"/>
    </row>
    <row r="16" spans="1:11" x14ac:dyDescent="0.25">
      <c r="B16" s="424" t="s">
        <v>756</v>
      </c>
      <c r="C16" s="582">
        <f>60%*C13</f>
        <v>0</v>
      </c>
      <c r="F16" s="729"/>
      <c r="G16" s="729"/>
      <c r="H16" s="1094"/>
    </row>
    <row r="17" spans="2:8" x14ac:dyDescent="0.25">
      <c r="B17" s="424" t="s">
        <v>757</v>
      </c>
      <c r="C17" s="582">
        <f>C13*0.79</f>
        <v>0</v>
      </c>
      <c r="F17" s="729"/>
      <c r="G17" s="729"/>
      <c r="H17" s="1094"/>
    </row>
    <row r="18" spans="2:8" x14ac:dyDescent="0.25">
      <c r="B18" s="424" t="s">
        <v>758</v>
      </c>
      <c r="C18" s="582">
        <f>MIN(C16,C17)</f>
        <v>0</v>
      </c>
      <c r="F18" s="729"/>
      <c r="G18" s="729"/>
      <c r="H18" s="1094"/>
    </row>
    <row r="19" spans="2:8" x14ac:dyDescent="0.25">
      <c r="B19" s="424" t="s">
        <v>759</v>
      </c>
      <c r="C19" s="582">
        <f>0.834%*C2*12*60 %</f>
        <v>0</v>
      </c>
      <c r="F19" s="61"/>
      <c r="G19" s="61"/>
      <c r="H19" s="581"/>
    </row>
    <row r="20" spans="2:8" x14ac:dyDescent="0.25">
      <c r="B20" s="424" t="s">
        <v>760</v>
      </c>
      <c r="C20" s="583">
        <f>MIN(C18,C19)</f>
        <v>0</v>
      </c>
      <c r="F20" s="61"/>
      <c r="G20" s="61"/>
      <c r="H20" s="581"/>
    </row>
    <row r="21" spans="2:8" x14ac:dyDescent="0.25">
      <c r="B21" s="579" t="s">
        <v>761</v>
      </c>
      <c r="C21" s="582"/>
      <c r="F21" s="61"/>
      <c r="G21" s="61"/>
      <c r="H21" s="581"/>
    </row>
    <row r="22" spans="2:8" x14ac:dyDescent="0.25">
      <c r="B22" s="424" t="s">
        <v>757</v>
      </c>
      <c r="C22" s="582">
        <f>C17</f>
        <v>0</v>
      </c>
      <c r="F22" s="61"/>
      <c r="G22" s="61"/>
      <c r="H22" s="581"/>
    </row>
    <row r="23" spans="2:8" x14ac:dyDescent="0.25">
      <c r="B23" s="424" t="s">
        <v>762</v>
      </c>
      <c r="C23" s="582">
        <f>80%*C13</f>
        <v>0</v>
      </c>
      <c r="F23" s="61"/>
      <c r="G23" s="61"/>
      <c r="H23" s="581"/>
    </row>
    <row r="24" spans="2:8" x14ac:dyDescent="0.25">
      <c r="B24" s="424" t="s">
        <v>763</v>
      </c>
      <c r="C24" s="582">
        <f>MIN(C22,C23)</f>
        <v>0</v>
      </c>
      <c r="F24" s="61"/>
      <c r="G24" s="61"/>
      <c r="H24" s="581"/>
    </row>
    <row r="25" spans="2:8" x14ac:dyDescent="0.25">
      <c r="B25" s="424" t="s">
        <v>764</v>
      </c>
      <c r="C25" s="582">
        <f>0.834%*C2*12*80 %</f>
        <v>0</v>
      </c>
      <c r="F25" s="61"/>
      <c r="G25" s="61"/>
      <c r="H25" s="581"/>
    </row>
    <row r="26" spans="2:8" x14ac:dyDescent="0.25">
      <c r="B26" s="424" t="s">
        <v>765</v>
      </c>
      <c r="C26" s="583">
        <f>MIN(C24,C25)</f>
        <v>0</v>
      </c>
      <c r="F26" s="61"/>
      <c r="G26" s="61"/>
      <c r="H26" s="581"/>
    </row>
    <row r="27" spans="2:8" x14ac:dyDescent="0.25">
      <c r="B27" s="424" t="s">
        <v>766</v>
      </c>
      <c r="C27" s="583">
        <f>IF(C3&lt;=28,C20,C26)</f>
        <v>0</v>
      </c>
      <c r="F27" s="61"/>
      <c r="G27" s="61"/>
      <c r="H27" s="581"/>
    </row>
    <row r="28" spans="2:8" x14ac:dyDescent="0.25">
      <c r="B28" s="584" t="s">
        <v>767</v>
      </c>
      <c r="C28" s="585">
        <f>C27*3.8%</f>
        <v>0</v>
      </c>
    </row>
    <row r="29" spans="2:8" x14ac:dyDescent="0.25">
      <c r="B29" s="584" t="s">
        <v>768</v>
      </c>
      <c r="C29" s="585">
        <f>C27*2.9%</f>
        <v>0</v>
      </c>
    </row>
    <row r="30" spans="2:8" x14ac:dyDescent="0.25">
      <c r="B30" s="586" t="s">
        <v>744</v>
      </c>
      <c r="C30" s="587">
        <f>C27-C28-C29</f>
        <v>0</v>
      </c>
    </row>
    <row r="31" spans="2:8" x14ac:dyDescent="0.25">
      <c r="B31" s="584" t="s">
        <v>769</v>
      </c>
      <c r="C31" s="585">
        <f>50% * C27</f>
        <v>0</v>
      </c>
    </row>
    <row r="32" spans="2:8" x14ac:dyDescent="0.25">
      <c r="B32" s="584" t="s">
        <v>770</v>
      </c>
      <c r="C32" s="585">
        <f>C31*3.8%</f>
        <v>0</v>
      </c>
    </row>
    <row r="33" spans="2:3" ht="28.5" x14ac:dyDescent="0.25">
      <c r="B33" s="76" t="s">
        <v>771</v>
      </c>
      <c r="C33" s="587">
        <f>+C31-C32</f>
        <v>0</v>
      </c>
    </row>
    <row r="34" spans="2:3" x14ac:dyDescent="0.25">
      <c r="B34" s="37" t="s">
        <v>390</v>
      </c>
      <c r="C34" s="588">
        <f>C3</f>
        <v>0</v>
      </c>
    </row>
    <row r="35" spans="2:3" x14ac:dyDescent="0.25">
      <c r="B35" s="37" t="s">
        <v>772</v>
      </c>
      <c r="C35" s="588">
        <f>C27*C3</f>
        <v>0</v>
      </c>
    </row>
    <row r="36" spans="2:3" x14ac:dyDescent="0.25">
      <c r="B36" s="37" t="s">
        <v>773</v>
      </c>
      <c r="C36" s="588">
        <f>C30*C3</f>
        <v>0</v>
      </c>
    </row>
    <row r="37" spans="2:3" ht="30" x14ac:dyDescent="0.25">
      <c r="B37" s="37" t="s">
        <v>774</v>
      </c>
      <c r="C37" s="588">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B40" sqref="A1:XFD1048576"/>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31.42578125" style="25" customWidth="1"/>
    <col min="6" max="6" width="5.140625" style="25" customWidth="1"/>
    <col min="7" max="7" width="33.28515625" style="181" customWidth="1"/>
    <col min="8" max="8" width="18.42578125" style="181"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3" t="s">
        <v>290</v>
      </c>
    </row>
    <row r="3" spans="3:13" ht="12.75" customHeight="1" x14ac:dyDescent="0.25"/>
    <row r="4" spans="3:13" ht="21.75" customHeight="1" x14ac:dyDescent="0.25">
      <c r="C4" s="374" t="s">
        <v>291</v>
      </c>
      <c r="D4" s="412"/>
      <c r="E4" s="412"/>
      <c r="F4" s="412"/>
      <c r="G4" s="723" t="s">
        <v>673</v>
      </c>
      <c r="H4" s="723"/>
    </row>
    <row r="5" spans="3:13" ht="21.75" customHeight="1" x14ac:dyDescent="0.25">
      <c r="C5" s="375" t="s">
        <v>292</v>
      </c>
      <c r="G5" s="724" t="s">
        <v>674</v>
      </c>
      <c r="H5" s="724"/>
    </row>
    <row r="6" spans="3:13" ht="21.75" customHeight="1" x14ac:dyDescent="0.25">
      <c r="C6" s="375" t="s">
        <v>293</v>
      </c>
      <c r="G6" s="725">
        <v>4980785750020</v>
      </c>
      <c r="H6" s="725"/>
    </row>
    <row r="7" spans="3:13" ht="21.75" customHeight="1" x14ac:dyDescent="0.25">
      <c r="C7" s="375" t="s">
        <v>294</v>
      </c>
      <c r="G7" s="723" t="s">
        <v>675</v>
      </c>
      <c r="H7" s="723"/>
    </row>
    <row r="8" spans="3:13" ht="51.75" customHeight="1" x14ac:dyDescent="0.25">
      <c r="C8" s="375" t="s">
        <v>295</v>
      </c>
      <c r="G8" s="726" t="s">
        <v>281</v>
      </c>
      <c r="H8" s="727"/>
      <c r="I8" s="728"/>
    </row>
    <row r="9" spans="3:13" x14ac:dyDescent="0.25">
      <c r="C9" s="376" t="s">
        <v>296</v>
      </c>
      <c r="D9" s="413"/>
      <c r="E9" s="413"/>
      <c r="F9" s="413"/>
      <c r="G9" s="722">
        <v>40</v>
      </c>
      <c r="H9" s="722"/>
    </row>
    <row r="10" spans="3:13" x14ac:dyDescent="0.25">
      <c r="C10" s="713"/>
      <c r="D10" s="713"/>
      <c r="E10" s="713"/>
      <c r="F10" s="713"/>
      <c r="G10" s="713"/>
      <c r="H10" s="713"/>
    </row>
    <row r="11" spans="3:13" ht="28.5" customHeight="1" x14ac:dyDescent="0.25">
      <c r="C11" s="377"/>
      <c r="D11" s="378"/>
      <c r="E11" s="715" t="s">
        <v>59</v>
      </c>
      <c r="F11" s="715"/>
      <c r="G11" s="379" t="s">
        <v>78</v>
      </c>
      <c r="H11" s="379" t="s">
        <v>79</v>
      </c>
    </row>
    <row r="12" spans="3:13" ht="20.25" customHeight="1" x14ac:dyDescent="0.25">
      <c r="C12" s="714" t="s">
        <v>364</v>
      </c>
      <c r="D12" s="714"/>
      <c r="E12" s="716"/>
      <c r="F12" s="717"/>
      <c r="G12" s="467">
        <v>0.01</v>
      </c>
      <c r="H12" s="467">
        <v>0.02</v>
      </c>
      <c r="I12" s="382"/>
      <c r="J12" s="382"/>
      <c r="K12" s="382"/>
      <c r="L12" s="382"/>
      <c r="M12" s="382"/>
    </row>
    <row r="13" spans="3:13" ht="20.25" customHeight="1" x14ac:dyDescent="0.25">
      <c r="C13" s="714" t="s">
        <v>365</v>
      </c>
      <c r="D13" s="714"/>
      <c r="E13" s="714"/>
      <c r="F13" s="714"/>
      <c r="G13" s="467"/>
      <c r="H13" s="467">
        <v>0.02</v>
      </c>
      <c r="I13" s="382"/>
      <c r="J13" s="382"/>
      <c r="K13" s="382"/>
      <c r="L13" s="382"/>
      <c r="M13" s="382"/>
    </row>
    <row r="14" spans="3:13" ht="20.25" hidden="1" customHeight="1" x14ac:dyDescent="0.25">
      <c r="C14" s="714"/>
      <c r="D14" s="714"/>
      <c r="E14" s="714"/>
      <c r="F14" s="714"/>
      <c r="G14" s="467"/>
      <c r="H14" s="467"/>
      <c r="I14" s="382"/>
      <c r="J14" s="382"/>
      <c r="K14" s="382"/>
      <c r="L14" s="382"/>
      <c r="M14" s="382"/>
    </row>
    <row r="15" spans="3:13" ht="20.25" customHeight="1" x14ac:dyDescent="0.25">
      <c r="C15" s="714" t="s">
        <v>192</v>
      </c>
      <c r="D15" s="714"/>
      <c r="E15" s="714" t="s">
        <v>297</v>
      </c>
      <c r="F15" s="714"/>
      <c r="G15" s="518">
        <v>0.01</v>
      </c>
      <c r="H15" s="518">
        <v>0.02</v>
      </c>
      <c r="I15" s="382"/>
      <c r="J15" s="382"/>
      <c r="K15" s="382"/>
      <c r="L15" s="382"/>
      <c r="M15" s="382"/>
    </row>
    <row r="16" spans="3:13" ht="20.25" customHeight="1" x14ac:dyDescent="0.25">
      <c r="C16" s="714" t="s">
        <v>298</v>
      </c>
      <c r="D16" s="714"/>
      <c r="E16" s="714" t="s">
        <v>297</v>
      </c>
      <c r="F16" s="714"/>
      <c r="G16" s="519"/>
      <c r="H16" s="518">
        <v>0.02</v>
      </c>
      <c r="I16" s="382"/>
      <c r="J16" s="382"/>
      <c r="K16" s="382"/>
      <c r="L16" s="382"/>
      <c r="M16" s="382"/>
    </row>
    <row r="17" spans="3:13" ht="20.25" customHeight="1" x14ac:dyDescent="0.25">
      <c r="C17" s="714" t="s">
        <v>372</v>
      </c>
      <c r="D17" s="714"/>
      <c r="E17" s="714"/>
      <c r="F17" s="714"/>
      <c r="G17" s="508"/>
      <c r="H17" s="508"/>
      <c r="I17" s="382"/>
      <c r="J17" s="382"/>
      <c r="K17" s="382"/>
      <c r="L17" s="382"/>
      <c r="M17" s="382"/>
    </row>
    <row r="18" spans="3:13" ht="20.25" customHeight="1" x14ac:dyDescent="0.25">
      <c r="C18" s="714" t="s">
        <v>366</v>
      </c>
      <c r="D18" s="714"/>
      <c r="E18" s="714" t="s">
        <v>367</v>
      </c>
      <c r="F18" s="714"/>
      <c r="G18" s="508"/>
      <c r="H18" s="508"/>
      <c r="I18" s="382"/>
      <c r="J18" s="382"/>
      <c r="K18" s="382"/>
      <c r="L18" s="382"/>
      <c r="M18" s="382"/>
    </row>
    <row r="19" spans="3:13" ht="20.25" hidden="1" customHeight="1" x14ac:dyDescent="0.25">
      <c r="C19" s="714"/>
      <c r="D19" s="714"/>
      <c r="E19" s="714"/>
      <c r="F19" s="714"/>
      <c r="G19" s="381"/>
      <c r="H19" s="381"/>
      <c r="I19" s="382"/>
      <c r="J19" s="382"/>
      <c r="K19" s="382"/>
      <c r="L19" s="383" t="s">
        <v>299</v>
      </c>
      <c r="M19" s="382"/>
    </row>
    <row r="20" spans="3:13" ht="20.25" hidden="1" customHeight="1" x14ac:dyDescent="0.25">
      <c r="C20" s="714"/>
      <c r="D20" s="714"/>
      <c r="E20" s="716"/>
      <c r="F20" s="717"/>
      <c r="G20" s="381"/>
      <c r="H20" s="381">
        <v>1.4999999999999999E-2</v>
      </c>
      <c r="I20" s="382"/>
      <c r="J20" s="382"/>
      <c r="K20" s="382"/>
      <c r="L20" s="383"/>
      <c r="M20" s="382"/>
    </row>
    <row r="21" spans="3:13" ht="20.25" customHeight="1" x14ac:dyDescent="0.25">
      <c r="C21" s="714" t="s">
        <v>300</v>
      </c>
      <c r="D21" s="714"/>
      <c r="E21" s="714" t="s">
        <v>297</v>
      </c>
      <c r="F21" s="714"/>
      <c r="G21" s="381"/>
      <c r="H21" s="467">
        <v>1.2999999999999999E-2</v>
      </c>
      <c r="I21" s="382"/>
      <c r="J21" s="382"/>
      <c r="K21" s="382"/>
      <c r="L21" s="382"/>
      <c r="M21" s="382"/>
    </row>
    <row r="22" spans="3:13" ht="20.25" customHeight="1" x14ac:dyDescent="0.25">
      <c r="C22" s="714" t="s">
        <v>301</v>
      </c>
      <c r="D22" s="714"/>
      <c r="E22" s="714" t="s">
        <v>297</v>
      </c>
      <c r="F22" s="714"/>
      <c r="G22" s="381"/>
      <c r="H22" s="467">
        <v>6.0000000000000001E-3</v>
      </c>
      <c r="I22" s="382"/>
      <c r="J22" s="382"/>
      <c r="K22" s="382"/>
      <c r="L22" s="382"/>
      <c r="M22" s="382"/>
    </row>
    <row r="23" spans="3:13" ht="16.5" customHeight="1" x14ac:dyDescent="0.25">
      <c r="I23" s="382"/>
      <c r="J23" s="382"/>
      <c r="K23" s="382"/>
      <c r="L23" s="382"/>
      <c r="M23" s="382"/>
    </row>
    <row r="24" spans="3:13" x14ac:dyDescent="0.25">
      <c r="I24" s="382"/>
      <c r="J24" s="382"/>
      <c r="K24" s="382"/>
      <c r="L24" s="385"/>
      <c r="M24" s="382"/>
    </row>
    <row r="25" spans="3:13" x14ac:dyDescent="0.25">
      <c r="G25" s="384"/>
      <c r="H25" s="384"/>
      <c r="I25" s="382"/>
      <c r="J25" s="382"/>
      <c r="K25" s="382"/>
      <c r="L25" s="385"/>
      <c r="M25" s="382"/>
    </row>
    <row r="26" spans="3:13" x14ac:dyDescent="0.25">
      <c r="C26" s="374" t="s">
        <v>302</v>
      </c>
      <c r="D26" s="386"/>
      <c r="E26" s="372" t="s">
        <v>189</v>
      </c>
    </row>
    <row r="27" spans="3:13" x14ac:dyDescent="0.25">
      <c r="C27" s="375" t="s">
        <v>303</v>
      </c>
      <c r="D27" s="387"/>
      <c r="E27" s="463" t="s">
        <v>679</v>
      </c>
    </row>
    <row r="28" spans="3:13" x14ac:dyDescent="0.25">
      <c r="C28" s="375" t="s">
        <v>292</v>
      </c>
      <c r="D28" s="387"/>
      <c r="E28" s="520" t="s">
        <v>676</v>
      </c>
    </row>
    <row r="29" spans="3:13" x14ac:dyDescent="0.25">
      <c r="C29" s="375" t="s">
        <v>304</v>
      </c>
      <c r="D29" s="387"/>
      <c r="E29" s="463" t="s">
        <v>677</v>
      </c>
    </row>
    <row r="30" spans="3:13" x14ac:dyDescent="0.25">
      <c r="C30" s="375" t="s">
        <v>305</v>
      </c>
      <c r="D30" s="387"/>
      <c r="E30" s="463">
        <v>290</v>
      </c>
    </row>
    <row r="31" spans="3:13" x14ac:dyDescent="0.25">
      <c r="C31" s="375" t="s">
        <v>306</v>
      </c>
      <c r="D31" s="387"/>
      <c r="E31" s="521" t="s">
        <v>678</v>
      </c>
    </row>
    <row r="32" spans="3:13" x14ac:dyDescent="0.25">
      <c r="C32" s="375" t="s">
        <v>307</v>
      </c>
      <c r="D32" s="387"/>
      <c r="E32" s="463" t="s">
        <v>212</v>
      </c>
      <c r="G32" s="181" t="s">
        <v>714</v>
      </c>
    </row>
    <row r="33" spans="3:7" x14ac:dyDescent="0.25">
      <c r="C33" s="375" t="s">
        <v>308</v>
      </c>
      <c r="D33" s="387"/>
      <c r="E33" s="463">
        <v>2</v>
      </c>
      <c r="G33" s="181" t="s">
        <v>715</v>
      </c>
    </row>
    <row r="34" spans="3:7" x14ac:dyDescent="0.25">
      <c r="C34" s="376" t="s">
        <v>368</v>
      </c>
      <c r="D34" s="388"/>
      <c r="E34" s="49"/>
    </row>
    <row r="35" spans="3:7" hidden="1" x14ac:dyDescent="0.25"/>
    <row r="36" spans="3:7" x14ac:dyDescent="0.25">
      <c r="E36" s="382"/>
    </row>
    <row r="37" spans="3:7" ht="24" customHeight="1" x14ac:dyDescent="0.25">
      <c r="C37" s="719" t="s">
        <v>80</v>
      </c>
      <c r="D37" s="720"/>
      <c r="E37" s="372" t="s">
        <v>189</v>
      </c>
      <c r="F37" s="382"/>
    </row>
    <row r="38" spans="3:7" ht="24" customHeight="1" x14ac:dyDescent="0.25">
      <c r="C38" s="374" t="s">
        <v>309</v>
      </c>
      <c r="D38" s="386"/>
      <c r="E38" s="464">
        <v>46296</v>
      </c>
      <c r="F38" s="389"/>
    </row>
    <row r="39" spans="3:7" ht="24" customHeight="1" x14ac:dyDescent="0.25">
      <c r="C39" s="375" t="s">
        <v>310</v>
      </c>
      <c r="D39" s="387"/>
      <c r="E39" s="464">
        <v>46326</v>
      </c>
      <c r="F39" s="389"/>
    </row>
    <row r="40" spans="3:7" ht="24" customHeight="1" x14ac:dyDescent="0.25">
      <c r="C40" s="375" t="s">
        <v>311</v>
      </c>
      <c r="D40" s="387"/>
      <c r="E40" s="464">
        <v>46326</v>
      </c>
      <c r="F40" s="389"/>
    </row>
    <row r="41" spans="3:7" ht="24" customHeight="1" x14ac:dyDescent="0.25">
      <c r="C41" s="375" t="s">
        <v>289</v>
      </c>
      <c r="D41" s="387"/>
      <c r="E41" s="465">
        <v>17000</v>
      </c>
      <c r="F41" s="390"/>
    </row>
    <row r="42" spans="3:7" ht="24" customHeight="1" x14ac:dyDescent="0.25">
      <c r="C42" s="375" t="s">
        <v>288</v>
      </c>
      <c r="D42" s="387"/>
      <c r="E42" s="466">
        <v>151.66999999999999</v>
      </c>
      <c r="F42" s="390"/>
    </row>
    <row r="43" spans="3:7" ht="24" customHeight="1" x14ac:dyDescent="0.25">
      <c r="C43" s="375" t="s">
        <v>279</v>
      </c>
      <c r="D43" s="387"/>
      <c r="E43" s="466">
        <f>'TABLE DES TAUX 2026 '!C54</f>
        <v>12.02</v>
      </c>
      <c r="F43" s="390"/>
    </row>
    <row r="44" spans="3:7" ht="24" customHeight="1" x14ac:dyDescent="0.25">
      <c r="C44" s="375" t="s">
        <v>312</v>
      </c>
      <c r="D44" s="387"/>
      <c r="E44" s="466">
        <f>'TABLE DES TAUX 2026 '!C51</f>
        <v>4005</v>
      </c>
      <c r="F44" s="390"/>
    </row>
    <row r="45" spans="3:7" ht="19.5" customHeight="1" x14ac:dyDescent="0.25">
      <c r="C45" s="375" t="s">
        <v>369</v>
      </c>
      <c r="D45" s="387"/>
      <c r="E45" s="466">
        <v>20</v>
      </c>
      <c r="F45" s="390"/>
    </row>
    <row r="46" spans="3:7" ht="19.5" customHeight="1" x14ac:dyDescent="0.25">
      <c r="C46" s="375" t="s">
        <v>13</v>
      </c>
      <c r="D46" s="387"/>
      <c r="E46" s="466">
        <f>E42+E45</f>
        <v>171.67</v>
      </c>
      <c r="F46" s="391"/>
    </row>
    <row r="47" spans="3:7" ht="19.5" customHeight="1" x14ac:dyDescent="0.25">
      <c r="C47" s="375" t="s">
        <v>313</v>
      </c>
      <c r="D47" s="387"/>
      <c r="E47" s="466"/>
      <c r="F47" s="391"/>
    </row>
    <row r="48" spans="3:7" ht="19.5" customHeight="1" x14ac:dyDescent="0.25">
      <c r="C48" s="375" t="s">
        <v>314</v>
      </c>
      <c r="D48" s="387"/>
      <c r="E48" s="466">
        <v>6</v>
      </c>
      <c r="F48" s="392"/>
    </row>
    <row r="49" spans="2:6" ht="19.5" customHeight="1" x14ac:dyDescent="0.25">
      <c r="C49" s="375" t="s">
        <v>315</v>
      </c>
      <c r="D49" s="387"/>
      <c r="E49" s="466">
        <v>6</v>
      </c>
      <c r="F49" s="392"/>
    </row>
    <row r="50" spans="2:6" ht="19.5" customHeight="1" x14ac:dyDescent="0.25">
      <c r="C50" s="375" t="s">
        <v>316</v>
      </c>
      <c r="D50" s="387"/>
      <c r="E50" s="466"/>
      <c r="F50" s="392"/>
    </row>
    <row r="51" spans="2:6" ht="19.5" customHeight="1" x14ac:dyDescent="0.25">
      <c r="C51" s="376" t="s">
        <v>370</v>
      </c>
      <c r="D51" s="388"/>
      <c r="E51" s="466"/>
      <c r="F51" s="392"/>
    </row>
    <row r="52" spans="2:6" ht="19.5" hidden="1" customHeight="1" x14ac:dyDescent="0.25">
      <c r="B52" s="373" t="s">
        <v>317</v>
      </c>
      <c r="E52" s="393">
        <v>211</v>
      </c>
    </row>
    <row r="53" spans="2:6" ht="24" hidden="1" customHeight="1" x14ac:dyDescent="0.25"/>
    <row r="54" spans="2:6" ht="24" hidden="1" customHeight="1" x14ac:dyDescent="0.25">
      <c r="C54" s="25" t="s">
        <v>318</v>
      </c>
    </row>
    <row r="55" spans="2:6" ht="24" hidden="1" customHeight="1" x14ac:dyDescent="0.25"/>
    <row r="56" spans="2:6" ht="24" hidden="1" customHeight="1" x14ac:dyDescent="0.25">
      <c r="D56" s="25" t="s">
        <v>319</v>
      </c>
    </row>
    <row r="57" spans="2:6" ht="24" hidden="1" customHeight="1" x14ac:dyDescent="0.25"/>
    <row r="58" spans="2:6" ht="24" hidden="1" customHeight="1" x14ac:dyDescent="0.25">
      <c r="D58" s="25" t="s">
        <v>320</v>
      </c>
    </row>
    <row r="59" spans="2:6" ht="24" hidden="1" customHeight="1" x14ac:dyDescent="0.25"/>
    <row r="60" spans="2:6" ht="24" hidden="1" customHeight="1" x14ac:dyDescent="0.25">
      <c r="C60" s="25" t="s">
        <v>321</v>
      </c>
    </row>
    <row r="61" spans="2:6" ht="24" hidden="1" customHeight="1" x14ac:dyDescent="0.25"/>
    <row r="62" spans="2:6" ht="24" hidden="1" customHeight="1" x14ac:dyDescent="0.25">
      <c r="D62" s="25" t="s">
        <v>322</v>
      </c>
    </row>
    <row r="63" spans="2:6" ht="24" hidden="1" customHeight="1" x14ac:dyDescent="0.25">
      <c r="D63" s="25" t="s">
        <v>323</v>
      </c>
    </row>
    <row r="64" spans="2:6" ht="24" hidden="1" customHeight="1" x14ac:dyDescent="0.25">
      <c r="D64" s="25" t="s">
        <v>324</v>
      </c>
    </row>
    <row r="65" spans="1:11" ht="24" hidden="1" customHeight="1" x14ac:dyDescent="0.25">
      <c r="D65" s="25" t="s">
        <v>325</v>
      </c>
    </row>
    <row r="66" spans="1:11" ht="24" hidden="1" customHeight="1" x14ac:dyDescent="0.25">
      <c r="D66" s="25" t="s">
        <v>326</v>
      </c>
    </row>
    <row r="67" spans="1:11" ht="24" hidden="1" customHeight="1" x14ac:dyDescent="0.25"/>
    <row r="68" spans="1:11" ht="24" hidden="1" customHeight="1" x14ac:dyDescent="0.25">
      <c r="C68" s="25" t="s">
        <v>327</v>
      </c>
    </row>
    <row r="69" spans="1:11" ht="24" hidden="1" customHeight="1" x14ac:dyDescent="0.25">
      <c r="C69" s="25" t="s">
        <v>328</v>
      </c>
    </row>
    <row r="70" spans="1:11" ht="24" hidden="1" customHeight="1" x14ac:dyDescent="0.25"/>
    <row r="71" spans="1:11" ht="24" hidden="1" customHeight="1" x14ac:dyDescent="0.25">
      <c r="D71" s="25" t="s">
        <v>329</v>
      </c>
    </row>
    <row r="72" spans="1:11" ht="24" hidden="1" customHeight="1" x14ac:dyDescent="0.25"/>
    <row r="73" spans="1:11" ht="24" hidden="1" customHeight="1" x14ac:dyDescent="0.25">
      <c r="C73" s="25" t="s">
        <v>330</v>
      </c>
    </row>
    <row r="74" spans="1:11" ht="24" hidden="1" customHeight="1" x14ac:dyDescent="0.25"/>
    <row r="75" spans="1:11" ht="24" hidden="1" customHeight="1" x14ac:dyDescent="0.25">
      <c r="E75" s="380" t="s">
        <v>59</v>
      </c>
      <c r="F75" s="380" t="s">
        <v>331</v>
      </c>
      <c r="G75" s="380" t="s">
        <v>83</v>
      </c>
      <c r="H75" s="380" t="s">
        <v>332</v>
      </c>
      <c r="I75" s="380" t="s">
        <v>77</v>
      </c>
    </row>
    <row r="76" spans="1:11" ht="24" hidden="1" customHeight="1" x14ac:dyDescent="0.25">
      <c r="B76" s="380" t="s">
        <v>333</v>
      </c>
      <c r="C76" s="718" t="s">
        <v>50</v>
      </c>
      <c r="D76" s="718"/>
      <c r="E76" s="394"/>
      <c r="F76" s="395">
        <v>6.8000000000000005E-2</v>
      </c>
      <c r="G76" s="394"/>
      <c r="H76" s="394"/>
      <c r="I76" s="394"/>
      <c r="J76" s="396"/>
      <c r="K76" s="396"/>
    </row>
    <row r="77" spans="1:11" ht="24" hidden="1" customHeight="1" x14ac:dyDescent="0.25">
      <c r="B77" s="380" t="s">
        <v>334</v>
      </c>
      <c r="C77" s="718" t="s">
        <v>51</v>
      </c>
      <c r="D77" s="718"/>
      <c r="E77" s="394"/>
      <c r="F77" s="395">
        <v>6.8000000000000005E-2</v>
      </c>
      <c r="G77" s="394"/>
      <c r="H77" s="394"/>
      <c r="I77" s="394"/>
      <c r="J77" s="396"/>
      <c r="K77" s="396"/>
    </row>
    <row r="78" spans="1:11" ht="24" hidden="1" customHeight="1" x14ac:dyDescent="0.25">
      <c r="B78" s="380" t="s">
        <v>335</v>
      </c>
      <c r="C78" s="718" t="s">
        <v>52</v>
      </c>
      <c r="D78" s="718"/>
      <c r="E78" s="394"/>
      <c r="F78" s="395">
        <v>2.9000000000000001E-2</v>
      </c>
      <c r="G78" s="394"/>
      <c r="H78" s="394"/>
      <c r="I78" s="394"/>
      <c r="J78" s="396"/>
      <c r="K78" s="396"/>
    </row>
    <row r="79" spans="1:11" ht="24" hidden="1" customHeight="1" x14ac:dyDescent="0.25">
      <c r="A79" s="721"/>
      <c r="B79" s="721"/>
      <c r="E79" s="394"/>
      <c r="F79" s="394"/>
      <c r="G79" s="394"/>
      <c r="H79" s="394"/>
      <c r="I79" s="397"/>
      <c r="J79" s="396"/>
      <c r="K79" s="396"/>
    </row>
    <row r="80" spans="1:11" ht="24" hidden="1" customHeight="1" x14ac:dyDescent="0.25">
      <c r="B80" s="380" t="s">
        <v>326</v>
      </c>
      <c r="C80" s="718" t="s">
        <v>53</v>
      </c>
      <c r="D80" s="718"/>
      <c r="E80" s="394"/>
      <c r="F80" s="398"/>
      <c r="G80" s="399"/>
      <c r="H80" s="400"/>
      <c r="I80" s="397"/>
      <c r="J80" s="396"/>
      <c r="K80" s="396"/>
    </row>
    <row r="81" spans="2:11" ht="24" hidden="1" customHeight="1" x14ac:dyDescent="0.25">
      <c r="B81" s="401"/>
      <c r="C81" s="402"/>
      <c r="D81" s="402"/>
      <c r="E81" s="403"/>
      <c r="F81" s="404"/>
      <c r="G81" s="405"/>
      <c r="H81" s="406"/>
      <c r="I81" s="407"/>
      <c r="J81" s="396"/>
      <c r="K81" s="396"/>
    </row>
    <row r="82" spans="2:11" ht="24" hidden="1" customHeight="1" x14ac:dyDescent="0.25">
      <c r="C82" s="25" t="s">
        <v>336</v>
      </c>
    </row>
    <row r="83" spans="2:11" ht="24" hidden="1" customHeight="1" x14ac:dyDescent="0.25"/>
    <row r="84" spans="2:11" ht="24" hidden="1" customHeight="1" x14ac:dyDescent="0.25">
      <c r="D84" s="25" t="s">
        <v>337</v>
      </c>
    </row>
    <row r="85" spans="2:11" ht="24" hidden="1" customHeight="1" x14ac:dyDescent="0.25"/>
    <row r="86" spans="2:11" ht="24" hidden="1" customHeight="1" x14ac:dyDescent="0.25">
      <c r="B86" s="25" t="s">
        <v>338</v>
      </c>
    </row>
    <row r="87" spans="2:11" ht="24" hidden="1" customHeight="1" x14ac:dyDescent="0.25"/>
    <row r="88" spans="2:11" ht="24" hidden="1" customHeight="1" x14ac:dyDescent="0.25">
      <c r="C88" s="25" t="s">
        <v>339</v>
      </c>
    </row>
    <row r="89" spans="2:11" ht="24" hidden="1" customHeight="1" x14ac:dyDescent="0.25"/>
    <row r="90" spans="2:11" ht="24" hidden="1" customHeight="1" x14ac:dyDescent="0.25">
      <c r="D90" s="25" t="s">
        <v>340</v>
      </c>
    </row>
    <row r="91" spans="2:11" ht="24" hidden="1" customHeight="1" x14ac:dyDescent="0.25">
      <c r="D91" s="25" t="s">
        <v>319</v>
      </c>
    </row>
    <row r="92" spans="2:11" ht="24" hidden="1" customHeight="1" x14ac:dyDescent="0.25">
      <c r="D92" s="25" t="s">
        <v>341</v>
      </c>
    </row>
    <row r="93" spans="2:11" ht="24" hidden="1" customHeight="1" x14ac:dyDescent="0.25">
      <c r="D93" s="25" t="s">
        <v>342</v>
      </c>
    </row>
    <row r="94" spans="2:11" ht="24" hidden="1" customHeight="1" x14ac:dyDescent="0.25">
      <c r="D94" s="25" t="s">
        <v>343</v>
      </c>
    </row>
    <row r="95" spans="2:11" ht="24" hidden="1" customHeight="1" x14ac:dyDescent="0.25"/>
    <row r="96" spans="2:11" ht="24" hidden="1" customHeight="1" x14ac:dyDescent="0.25">
      <c r="C96" s="25" t="s">
        <v>344</v>
      </c>
    </row>
    <row r="97" spans="2:5" ht="24" hidden="1" customHeight="1" x14ac:dyDescent="0.25"/>
    <row r="98" spans="2:5" ht="24" hidden="1" customHeight="1" x14ac:dyDescent="0.25">
      <c r="B98" s="373" t="s">
        <v>345</v>
      </c>
      <c r="C98" s="373"/>
    </row>
    <row r="99" spans="2:5" ht="24" hidden="1" customHeight="1" x14ac:dyDescent="0.25"/>
    <row r="100" spans="2:5" ht="24" hidden="1" customHeight="1" x14ac:dyDescent="0.25">
      <c r="C100" s="408" t="s">
        <v>346</v>
      </c>
    </row>
    <row r="101" spans="2:5" ht="24" hidden="1" customHeight="1" x14ac:dyDescent="0.25"/>
    <row r="102" spans="2:5" ht="24" hidden="1" customHeight="1" x14ac:dyDescent="0.25">
      <c r="C102" s="25" t="s">
        <v>347</v>
      </c>
    </row>
    <row r="103" spans="2:5" ht="24" hidden="1" customHeight="1" x14ac:dyDescent="0.25">
      <c r="C103" s="25" t="s">
        <v>348</v>
      </c>
    </row>
    <row r="104" spans="2:5" ht="24" hidden="1" customHeight="1" x14ac:dyDescent="0.25">
      <c r="C104" s="25" t="s">
        <v>349</v>
      </c>
    </row>
    <row r="105" spans="2:5" ht="24" hidden="1" customHeight="1" x14ac:dyDescent="0.25">
      <c r="C105" s="25" t="s">
        <v>350</v>
      </c>
    </row>
    <row r="106" spans="2:5" ht="24" hidden="1" customHeight="1" x14ac:dyDescent="0.25">
      <c r="C106" s="25" t="s">
        <v>351</v>
      </c>
    </row>
    <row r="107" spans="2:5" ht="24" hidden="1" customHeight="1" x14ac:dyDescent="0.25"/>
    <row r="108" spans="2:5" ht="24" hidden="1" customHeight="1" x14ac:dyDescent="0.25"/>
    <row r="109" spans="2:5" ht="24" hidden="1" customHeight="1" x14ac:dyDescent="0.25">
      <c r="B109" s="373" t="s">
        <v>352</v>
      </c>
    </row>
    <row r="110" spans="2:5" ht="24" hidden="1" customHeight="1" x14ac:dyDescent="0.25"/>
    <row r="111" spans="2:5" ht="24" hidden="1" customHeight="1" x14ac:dyDescent="0.25">
      <c r="C111" s="25" t="s">
        <v>353</v>
      </c>
    </row>
    <row r="112" spans="2:5" ht="24" hidden="1" customHeight="1" x14ac:dyDescent="0.25">
      <c r="D112" s="25" t="s">
        <v>354</v>
      </c>
      <c r="E112" s="409">
        <v>2332</v>
      </c>
    </row>
    <row r="113" spans="3:6" ht="24" hidden="1" customHeight="1" x14ac:dyDescent="0.25">
      <c r="D113" s="25" t="s">
        <v>355</v>
      </c>
      <c r="E113" s="409">
        <v>3062</v>
      </c>
    </row>
    <row r="114" spans="3:6" ht="24" hidden="1" customHeight="1" x14ac:dyDescent="0.25"/>
    <row r="115" spans="3:6" ht="24" hidden="1" customHeight="1" x14ac:dyDescent="0.25">
      <c r="C115" s="25" t="s">
        <v>356</v>
      </c>
      <c r="D115" s="25">
        <v>8.3000000000000007</v>
      </c>
    </row>
    <row r="116" spans="3:6" ht="24" hidden="1" customHeight="1" x14ac:dyDescent="0.25">
      <c r="D116" s="25" t="s">
        <v>357</v>
      </c>
    </row>
    <row r="117" spans="3:6" ht="24" hidden="1" customHeight="1" x14ac:dyDescent="0.25">
      <c r="D117" s="25" t="s">
        <v>358</v>
      </c>
      <c r="E117" s="409">
        <f>E30</f>
        <v>290</v>
      </c>
      <c r="F117" s="25">
        <f>E117*D115</f>
        <v>2407</v>
      </c>
    </row>
    <row r="118" spans="3:6" ht="24" hidden="1" customHeight="1" x14ac:dyDescent="0.25">
      <c r="D118" s="25" t="s">
        <v>359</v>
      </c>
      <c r="E118" s="409" t="e">
        <f>#REF!</f>
        <v>#REF!</v>
      </c>
      <c r="F118" s="25" t="e">
        <f>D115*E118</f>
        <v>#REF!</v>
      </c>
    </row>
    <row r="119" spans="3:6" ht="24" hidden="1" customHeight="1" x14ac:dyDescent="0.25"/>
    <row r="120" spans="3:6" ht="24" hidden="1" customHeight="1" x14ac:dyDescent="0.25">
      <c r="E120" s="25" t="s">
        <v>360</v>
      </c>
    </row>
    <row r="121" spans="3:6" ht="24" hidden="1" customHeight="1" x14ac:dyDescent="0.25"/>
    <row r="122" spans="3:6" ht="15.75" hidden="1" customHeight="1" x14ac:dyDescent="0.25"/>
  </sheetData>
  <mergeCells count="36">
    <mergeCell ref="G9:H9"/>
    <mergeCell ref="G4:H4"/>
    <mergeCell ref="G5:H5"/>
    <mergeCell ref="G6:H6"/>
    <mergeCell ref="G7:H7"/>
    <mergeCell ref="G8:I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90"/>
  <sheetViews>
    <sheetView topLeftCell="A51" zoomScale="99" workbookViewId="0">
      <selection activeCell="A10" sqref="A10:B10"/>
    </sheetView>
  </sheetViews>
  <sheetFormatPr baseColWidth="10" defaultRowHeight="15" x14ac:dyDescent="0.25"/>
  <cols>
    <col min="1" max="1" width="29" customWidth="1"/>
    <col min="2" max="2" width="19" customWidth="1"/>
    <col min="3" max="3" width="19" style="282" customWidth="1"/>
    <col min="4" max="4" width="19" style="30" customWidth="1"/>
    <col min="5" max="5" width="19" style="36" customWidth="1"/>
  </cols>
  <sheetData>
    <row r="1" spans="1:5" ht="48" customHeight="1" x14ac:dyDescent="0.25">
      <c r="A1" s="757" t="s">
        <v>67</v>
      </c>
      <c r="B1" s="758"/>
      <c r="C1" s="28" t="s">
        <v>68</v>
      </c>
      <c r="D1" s="262" t="s">
        <v>69</v>
      </c>
    </row>
    <row r="2" spans="1:5" ht="19.5" customHeight="1" x14ac:dyDescent="0.25">
      <c r="A2" s="759" t="s">
        <v>252</v>
      </c>
      <c r="B2" s="760"/>
      <c r="C2" s="28"/>
      <c r="D2" s="262"/>
    </row>
    <row r="3" spans="1:5" s="58" customFormat="1" ht="19.5" customHeight="1" x14ac:dyDescent="0.25">
      <c r="A3" s="761" t="s">
        <v>892</v>
      </c>
      <c r="B3" s="762"/>
      <c r="C3" s="200"/>
      <c r="D3" s="692">
        <v>0.13</v>
      </c>
      <c r="E3" s="201"/>
    </row>
    <row r="4" spans="1:5" s="58" customFormat="1" ht="19.5" customHeight="1" x14ac:dyDescent="0.25">
      <c r="A4" s="748"/>
      <c r="B4" s="749"/>
      <c r="C4" s="200"/>
      <c r="D4" s="200"/>
      <c r="E4" s="64"/>
    </row>
    <row r="5" spans="1:5" s="58" customFormat="1" ht="19.5" customHeight="1" x14ac:dyDescent="0.25">
      <c r="A5" s="748" t="s">
        <v>192</v>
      </c>
      <c r="B5" s="749"/>
      <c r="C5" s="368"/>
      <c r="D5" s="368"/>
      <c r="E5" s="747"/>
    </row>
    <row r="6" spans="1:5" s="58" customFormat="1" ht="19.5" customHeight="1" x14ac:dyDescent="0.25">
      <c r="A6" s="748" t="s">
        <v>239</v>
      </c>
      <c r="B6" s="749"/>
      <c r="C6" s="200"/>
      <c r="D6" s="200"/>
      <c r="E6" s="747"/>
    </row>
    <row r="7" spans="1:5" s="58" customFormat="1" ht="19.5" customHeight="1" x14ac:dyDescent="0.25">
      <c r="A7" s="750"/>
      <c r="B7" s="751"/>
      <c r="C7" s="751"/>
      <c r="D7" s="752"/>
      <c r="E7" s="263"/>
    </row>
    <row r="8" spans="1:5" s="58" customFormat="1" ht="19.5" customHeight="1" x14ac:dyDescent="0.25">
      <c r="A8" s="753" t="s">
        <v>38</v>
      </c>
      <c r="B8" s="754"/>
      <c r="C8" s="264"/>
      <c r="D8" s="265"/>
    </row>
    <row r="9" spans="1:5" s="58" customFormat="1" ht="19.5" customHeight="1" x14ac:dyDescent="0.25">
      <c r="A9" s="755" t="s">
        <v>253</v>
      </c>
      <c r="B9" s="756"/>
      <c r="C9" s="31"/>
      <c r="D9" s="31"/>
    </row>
    <row r="10" spans="1:5" s="58" customFormat="1" ht="19.5" customHeight="1" x14ac:dyDescent="0.25">
      <c r="A10" s="763" t="s">
        <v>893</v>
      </c>
      <c r="B10" s="764"/>
      <c r="C10" s="32"/>
      <c r="D10" s="691">
        <v>5.2499999999999998E-2</v>
      </c>
    </row>
    <row r="11" spans="1:5" s="58" customFormat="1" ht="19.5" customHeight="1" x14ac:dyDescent="0.25">
      <c r="A11" s="765"/>
      <c r="B11" s="766"/>
      <c r="C11" s="32"/>
      <c r="D11" s="203"/>
    </row>
    <row r="12" spans="1:5" s="58" customFormat="1" ht="19.5" customHeight="1" x14ac:dyDescent="0.25">
      <c r="A12" s="767" t="s">
        <v>254</v>
      </c>
      <c r="B12" s="768"/>
      <c r="C12" s="266"/>
      <c r="D12" s="202"/>
    </row>
    <row r="13" spans="1:5" s="58" customFormat="1" ht="19.5" customHeight="1" x14ac:dyDescent="0.25">
      <c r="A13" s="730" t="s">
        <v>200</v>
      </c>
      <c r="B13" s="731"/>
      <c r="C13" s="204"/>
      <c r="D13" s="204">
        <v>0.04</v>
      </c>
    </row>
    <row r="14" spans="1:5" s="58" customFormat="1" ht="19.5" customHeight="1" x14ac:dyDescent="0.25">
      <c r="A14" s="730" t="s">
        <v>211</v>
      </c>
      <c r="B14" s="731"/>
      <c r="C14" s="204"/>
      <c r="D14" s="204">
        <v>2.5000000000000001E-3</v>
      </c>
    </row>
    <row r="15" spans="1:5" s="58" customFormat="1" ht="19.5" customHeight="1" x14ac:dyDescent="0.25">
      <c r="A15" s="743" t="s">
        <v>267</v>
      </c>
      <c r="B15" s="744"/>
      <c r="C15" s="267">
        <v>2.4000000000000001E-4</v>
      </c>
      <c r="D15" s="268">
        <v>3.6000000000000002E-4</v>
      </c>
    </row>
    <row r="16" spans="1:5" s="58" customFormat="1" ht="19.5" customHeight="1" x14ac:dyDescent="0.25">
      <c r="A16" s="745" t="s">
        <v>39</v>
      </c>
      <c r="B16" s="746"/>
      <c r="C16" s="746"/>
      <c r="D16" s="746"/>
    </row>
    <row r="17" spans="1:5" s="58" customFormat="1" ht="19.5" customHeight="1" x14ac:dyDescent="0.25">
      <c r="A17" s="734" t="s">
        <v>40</v>
      </c>
      <c r="B17" s="735"/>
      <c r="C17" s="199">
        <v>6.9000000000000006E-2</v>
      </c>
      <c r="D17" s="199">
        <v>8.5500000000000007E-2</v>
      </c>
    </row>
    <row r="18" spans="1:5" s="58" customFormat="1" ht="19.5" customHeight="1" x14ac:dyDescent="0.25">
      <c r="A18" s="734" t="s">
        <v>41</v>
      </c>
      <c r="B18" s="735"/>
      <c r="C18" s="199">
        <v>4.0000000000000001E-3</v>
      </c>
      <c r="D18" s="691">
        <v>2.1100000000000001E-2</v>
      </c>
    </row>
    <row r="19" spans="1:5" s="58" customFormat="1" ht="19.5" customHeight="1" x14ac:dyDescent="0.25">
      <c r="A19" s="734" t="s">
        <v>42</v>
      </c>
      <c r="B19" s="735"/>
      <c r="C19" s="199">
        <v>3.15E-2</v>
      </c>
      <c r="D19" s="199">
        <v>4.7199999999999999E-2</v>
      </c>
    </row>
    <row r="20" spans="1:5" s="58" customFormat="1" ht="19.5" customHeight="1" x14ac:dyDescent="0.25">
      <c r="A20" s="734" t="s">
        <v>43</v>
      </c>
      <c r="B20" s="735"/>
      <c r="C20" s="199">
        <v>8.6400000000000005E-2</v>
      </c>
      <c r="D20" s="199">
        <v>0.1295</v>
      </c>
    </row>
    <row r="21" spans="1:5" s="58" customFormat="1" ht="19.5" customHeight="1" x14ac:dyDescent="0.25">
      <c r="A21" s="734" t="s">
        <v>72</v>
      </c>
      <c r="B21" s="735"/>
      <c r="C21" s="199">
        <v>8.6E-3</v>
      </c>
      <c r="D21" s="199">
        <v>1.29E-2</v>
      </c>
    </row>
    <row r="22" spans="1:5" s="58" customFormat="1" ht="19.5" customHeight="1" x14ac:dyDescent="0.25">
      <c r="A22" s="734" t="s">
        <v>73</v>
      </c>
      <c r="B22" s="735"/>
      <c r="C22" s="199">
        <v>1.0800000000000001E-2</v>
      </c>
      <c r="D22" s="199">
        <v>1.6199999999999999E-2</v>
      </c>
    </row>
    <row r="23" spans="1:5" s="58" customFormat="1" ht="19.5" customHeight="1" x14ac:dyDescent="0.25">
      <c r="A23" s="734" t="s">
        <v>74</v>
      </c>
      <c r="B23" s="735"/>
      <c r="C23" s="199">
        <v>1.4E-3</v>
      </c>
      <c r="D23" s="199">
        <v>2.0999999999999999E-3</v>
      </c>
    </row>
    <row r="24" spans="1:5" s="58" customFormat="1" ht="19.5" customHeight="1" x14ac:dyDescent="0.25">
      <c r="A24" s="734" t="s">
        <v>75</v>
      </c>
      <c r="B24" s="735"/>
      <c r="C24" s="199">
        <v>1.4E-3</v>
      </c>
      <c r="D24" s="199">
        <v>2.0999999999999999E-3</v>
      </c>
    </row>
    <row r="25" spans="1:5" s="58" customFormat="1" ht="19.5" customHeight="1" x14ac:dyDescent="0.25">
      <c r="A25" s="658"/>
      <c r="B25" s="659"/>
      <c r="C25" s="266"/>
      <c r="D25" s="202"/>
      <c r="E25" s="263"/>
    </row>
    <row r="26" spans="1:5" s="58" customFormat="1" ht="19.5" customHeight="1" x14ac:dyDescent="0.25">
      <c r="A26" s="734" t="s">
        <v>201</v>
      </c>
      <c r="B26" s="735"/>
      <c r="C26" s="32"/>
      <c r="D26" s="199">
        <v>1E-3</v>
      </c>
      <c r="E26" s="263"/>
    </row>
    <row r="27" spans="1:5" s="58" customFormat="1" ht="19.5" customHeight="1" x14ac:dyDescent="0.25">
      <c r="A27" s="769" t="s">
        <v>202</v>
      </c>
      <c r="B27" s="770"/>
      <c r="C27" s="32"/>
      <c r="D27" s="199">
        <v>5.0000000000000001E-3</v>
      </c>
      <c r="E27" s="263"/>
    </row>
    <row r="28" spans="1:5" s="58" customFormat="1" ht="19.5" customHeight="1" x14ac:dyDescent="0.25">
      <c r="A28" s="769" t="s">
        <v>175</v>
      </c>
      <c r="B28" s="770"/>
      <c r="C28" s="32"/>
      <c r="D28" s="199">
        <v>3.2000000000000001E-2</v>
      </c>
      <c r="E28" s="263" t="s">
        <v>470</v>
      </c>
    </row>
    <row r="29" spans="1:5" s="58" customFormat="1" ht="19.5" customHeight="1" x14ac:dyDescent="0.25">
      <c r="A29" s="734" t="s">
        <v>70</v>
      </c>
      <c r="B29" s="735"/>
      <c r="C29" s="32"/>
      <c r="D29" s="199">
        <v>3.0000000000000001E-3</v>
      </c>
      <c r="E29" s="263"/>
    </row>
    <row r="30" spans="1:5" s="58" customFormat="1" ht="19.5" customHeight="1" x14ac:dyDescent="0.25">
      <c r="A30" s="734" t="s">
        <v>46</v>
      </c>
      <c r="B30" s="735"/>
      <c r="C30" s="32"/>
      <c r="D30" s="199">
        <v>0.08</v>
      </c>
      <c r="E30" s="263"/>
    </row>
    <row r="31" spans="1:5" s="58" customFormat="1" ht="19.5" customHeight="1" x14ac:dyDescent="0.25">
      <c r="A31" s="212" t="s">
        <v>213</v>
      </c>
      <c r="B31" s="212"/>
      <c r="C31" s="32"/>
      <c r="D31" s="199">
        <v>0.2</v>
      </c>
      <c r="E31" s="263"/>
    </row>
    <row r="32" spans="1:5" s="58" customFormat="1" ht="15.75" x14ac:dyDescent="0.25">
      <c r="A32" s="734" t="s">
        <v>71</v>
      </c>
      <c r="B32" s="735"/>
      <c r="C32" s="32"/>
      <c r="D32" s="204">
        <v>1.6000000000000001E-4</v>
      </c>
      <c r="E32" s="201"/>
    </row>
    <row r="33" spans="1:5" s="58" customFormat="1" ht="15.75" x14ac:dyDescent="0.25">
      <c r="A33" s="734" t="s">
        <v>844</v>
      </c>
      <c r="B33" s="735"/>
      <c r="C33" s="29"/>
      <c r="D33" s="199">
        <v>6.7999999999999996E-3</v>
      </c>
      <c r="E33" s="201"/>
    </row>
    <row r="34" spans="1:5" s="58" customFormat="1" ht="15" customHeight="1" x14ac:dyDescent="0.25">
      <c r="A34" s="734" t="s">
        <v>845</v>
      </c>
      <c r="B34" s="735"/>
      <c r="C34" s="29"/>
      <c r="D34" s="199">
        <v>0.01</v>
      </c>
      <c r="E34" s="660"/>
    </row>
    <row r="35" spans="1:5" s="58" customFormat="1" ht="15" customHeight="1" x14ac:dyDescent="0.25">
      <c r="A35" s="734" t="s">
        <v>845</v>
      </c>
      <c r="B35" s="735"/>
      <c r="C35" s="29"/>
      <c r="D35" s="199">
        <v>5.4999999999999997E-3</v>
      </c>
      <c r="E35" s="660"/>
    </row>
    <row r="36" spans="1:5" s="58" customFormat="1" ht="15" customHeight="1" x14ac:dyDescent="0.25">
      <c r="A36" s="734" t="s">
        <v>76</v>
      </c>
      <c r="B36" s="735"/>
      <c r="C36" s="29"/>
      <c r="D36" s="199">
        <v>4.4999999999999997E-3</v>
      </c>
      <c r="E36" s="205"/>
    </row>
    <row r="37" spans="1:5" s="58" customFormat="1" ht="15" customHeight="1" x14ac:dyDescent="0.25">
      <c r="A37" s="772"/>
      <c r="B37" s="773"/>
      <c r="C37" s="266"/>
      <c r="D37" s="202"/>
      <c r="E37" s="205"/>
    </row>
    <row r="38" spans="1:5" s="58" customFormat="1" ht="15" customHeight="1" x14ac:dyDescent="0.25">
      <c r="A38" s="774" t="s">
        <v>48</v>
      </c>
      <c r="B38" s="775"/>
      <c r="C38" s="269">
        <v>6.8000000000000005E-2</v>
      </c>
      <c r="D38" s="206"/>
      <c r="E38" s="484"/>
    </row>
    <row r="39" spans="1:5" s="58" customFormat="1" ht="15.75" customHeight="1" x14ac:dyDescent="0.25">
      <c r="A39" s="771" t="s">
        <v>49</v>
      </c>
      <c r="B39" s="771"/>
      <c r="C39" s="269">
        <v>2.9000000000000001E-2</v>
      </c>
      <c r="D39" s="206"/>
      <c r="E39" s="201"/>
    </row>
    <row r="40" spans="1:5" s="58" customFormat="1" ht="15.75" customHeight="1" x14ac:dyDescent="0.25">
      <c r="A40" s="774" t="s">
        <v>50</v>
      </c>
      <c r="B40" s="775"/>
      <c r="C40" s="269">
        <v>6.8000000000000005E-2</v>
      </c>
      <c r="D40" s="206"/>
      <c r="E40" s="201"/>
    </row>
    <row r="41" spans="1:5" s="58" customFormat="1" ht="15" customHeight="1" x14ac:dyDescent="0.25">
      <c r="A41" s="774" t="s">
        <v>51</v>
      </c>
      <c r="B41" s="775"/>
      <c r="C41" s="269">
        <v>6.8000000000000005E-2</v>
      </c>
      <c r="D41" s="206"/>
    </row>
    <row r="42" spans="1:5" s="58" customFormat="1" ht="15" customHeight="1" x14ac:dyDescent="0.25">
      <c r="A42" s="774" t="s">
        <v>52</v>
      </c>
      <c r="B42" s="775"/>
      <c r="C42" s="269">
        <v>2.9000000000000001E-2</v>
      </c>
      <c r="D42" s="206"/>
    </row>
    <row r="43" spans="1:5" s="58" customFormat="1" ht="10.5" customHeight="1" x14ac:dyDescent="0.25">
      <c r="A43" s="776"/>
      <c r="B43" s="777"/>
      <c r="C43" s="777"/>
      <c r="D43" s="778"/>
      <c r="E43" s="35"/>
    </row>
    <row r="44" spans="1:5" s="58" customFormat="1" ht="15" customHeight="1" x14ac:dyDescent="0.25">
      <c r="A44" s="779" t="s">
        <v>255</v>
      </c>
      <c r="B44" s="780"/>
      <c r="C44" s="270"/>
      <c r="D44" s="271"/>
      <c r="E44" s="201"/>
    </row>
    <row r="45" spans="1:5" s="58" customFormat="1" ht="15" customHeight="1" x14ac:dyDescent="0.25">
      <c r="A45" s="744" t="s">
        <v>244</v>
      </c>
      <c r="B45" s="771"/>
      <c r="C45" s="269"/>
      <c r="D45" s="269"/>
      <c r="E45" s="182"/>
    </row>
    <row r="46" spans="1:5" s="58" customFormat="1" ht="15" customHeight="1" x14ac:dyDescent="0.25">
      <c r="A46" s="744" t="s">
        <v>243</v>
      </c>
      <c r="B46" s="771"/>
      <c r="C46" s="269"/>
      <c r="D46" s="269"/>
      <c r="E46" s="182"/>
    </row>
    <row r="47" spans="1:5" s="58" customFormat="1" ht="15" customHeight="1" x14ac:dyDescent="0.25">
      <c r="A47" s="781" t="s">
        <v>197</v>
      </c>
      <c r="B47" s="781"/>
      <c r="C47" s="269"/>
      <c r="D47" s="269">
        <v>1.4999999999999999E-2</v>
      </c>
      <c r="E47" s="182"/>
    </row>
    <row r="48" spans="1:5" s="58" customFormat="1" ht="15" customHeight="1" x14ac:dyDescent="0.25">
      <c r="A48" s="774" t="s">
        <v>198</v>
      </c>
      <c r="B48" s="775"/>
      <c r="C48" s="270"/>
      <c r="D48" s="272"/>
      <c r="E48" s="201"/>
    </row>
    <row r="49" spans="1:6" s="58" customFormat="1" ht="15" customHeight="1" x14ac:dyDescent="0.25">
      <c r="A49" s="774" t="s">
        <v>199</v>
      </c>
      <c r="B49" s="775"/>
      <c r="C49" s="270"/>
      <c r="D49" s="272"/>
      <c r="E49" s="201"/>
    </row>
    <row r="50" spans="1:6" s="58" customFormat="1" ht="8.25" customHeight="1" x14ac:dyDescent="0.25">
      <c r="A50" s="750"/>
      <c r="B50" s="751"/>
      <c r="C50" s="751"/>
      <c r="D50" s="752"/>
      <c r="E50" s="201"/>
    </row>
    <row r="51" spans="1:6" s="58" customFormat="1" ht="15" customHeight="1" x14ac:dyDescent="0.25">
      <c r="A51" s="782" t="s">
        <v>846</v>
      </c>
      <c r="B51" s="783"/>
      <c r="C51" s="490">
        <v>4005</v>
      </c>
      <c r="D51" s="273"/>
      <c r="E51" s="201"/>
    </row>
    <row r="52" spans="1:6" s="58" customFormat="1" x14ac:dyDescent="0.25">
      <c r="A52" s="782" t="s">
        <v>847</v>
      </c>
      <c r="B52" s="783"/>
      <c r="C52" s="208">
        <v>11.88</v>
      </c>
      <c r="D52" s="207"/>
      <c r="E52" s="201"/>
    </row>
    <row r="53" spans="1:6" s="58" customFormat="1" hidden="1" x14ac:dyDescent="0.25">
      <c r="A53" s="782"/>
      <c r="B53" s="783"/>
      <c r="C53" s="208">
        <v>11.88</v>
      </c>
      <c r="D53" s="207"/>
      <c r="E53" s="201"/>
    </row>
    <row r="54" spans="1:6" s="58" customFormat="1" x14ac:dyDescent="0.25">
      <c r="A54" s="486" t="s">
        <v>848</v>
      </c>
      <c r="B54" s="487"/>
      <c r="C54" s="490">
        <v>12.02</v>
      </c>
      <c r="D54" s="207"/>
      <c r="E54" s="201"/>
    </row>
    <row r="55" spans="1:6" s="58" customFormat="1" x14ac:dyDescent="0.25">
      <c r="A55" s="782" t="s">
        <v>474</v>
      </c>
      <c r="B55" s="783"/>
      <c r="C55" s="274"/>
      <c r="D55" s="207"/>
      <c r="E55" s="201"/>
    </row>
    <row r="56" spans="1:6" s="58" customFormat="1" x14ac:dyDescent="0.25">
      <c r="A56" s="782" t="s">
        <v>474</v>
      </c>
      <c r="B56" s="783"/>
      <c r="C56" s="274"/>
      <c r="D56" s="207"/>
      <c r="E56" s="201"/>
    </row>
    <row r="57" spans="1:6" s="58" customFormat="1" x14ac:dyDescent="0.25">
      <c r="A57" s="486" t="s">
        <v>849</v>
      </c>
      <c r="B57" s="487"/>
      <c r="C57" s="274">
        <f>C54*35*52/12</f>
        <v>1823.0333333333331</v>
      </c>
      <c r="D57" s="207"/>
      <c r="E57" s="661">
        <f>ROUND(C54*151.67,2)</f>
        <v>1823.07</v>
      </c>
      <c r="F57" s="58" t="s">
        <v>850</v>
      </c>
    </row>
    <row r="58" spans="1:6" s="58" customFormat="1" hidden="1" x14ac:dyDescent="0.25">
      <c r="A58" s="782"/>
      <c r="B58" s="783"/>
      <c r="C58" s="208"/>
      <c r="D58" s="207"/>
      <c r="E58" s="661"/>
    </row>
    <row r="59" spans="1:6" s="58" customFormat="1" hidden="1" x14ac:dyDescent="0.25">
      <c r="A59" s="774"/>
      <c r="B59" s="775"/>
      <c r="C59" s="491"/>
      <c r="D59" s="200"/>
      <c r="E59" s="661"/>
      <c r="F59" s="492"/>
    </row>
    <row r="60" spans="1:6" s="58" customFormat="1" ht="18.75" customHeight="1" x14ac:dyDescent="0.25">
      <c r="A60" s="774" t="s">
        <v>851</v>
      </c>
      <c r="B60" s="775"/>
      <c r="C60" s="491">
        <f>3*C54*35*52/12</f>
        <v>5469.1000000000013</v>
      </c>
      <c r="D60" s="200"/>
      <c r="E60" s="492">
        <f>ROUND(3*C54*151.67,2)</f>
        <v>5469.22</v>
      </c>
      <c r="F60" s="58" t="s">
        <v>850</v>
      </c>
    </row>
    <row r="61" spans="1:6" s="58" customFormat="1" ht="31.5" customHeight="1" x14ac:dyDescent="0.25">
      <c r="A61" s="730" t="s">
        <v>852</v>
      </c>
      <c r="B61" s="731"/>
      <c r="C61" s="688">
        <v>0.37809999999999999</v>
      </c>
      <c r="D61" s="689">
        <v>0.3821</v>
      </c>
    </row>
    <row r="62" spans="1:6" s="58" customFormat="1" ht="15" customHeight="1" x14ac:dyDescent="0.25">
      <c r="A62" s="785"/>
      <c r="B62" s="785"/>
      <c r="C62" s="785"/>
      <c r="D62" s="786"/>
      <c r="E62" s="215"/>
    </row>
    <row r="63" spans="1:6" s="58" customFormat="1" ht="23.25" customHeight="1" x14ac:dyDescent="0.25">
      <c r="A63" s="730" t="s">
        <v>209</v>
      </c>
      <c r="B63" s="731"/>
      <c r="C63" s="275"/>
      <c r="D63" s="662" t="s">
        <v>853</v>
      </c>
      <c r="E63" s="663"/>
    </row>
    <row r="64" spans="1:6" s="58" customFormat="1" ht="17.25" customHeight="1" x14ac:dyDescent="0.25">
      <c r="A64" s="732" t="s">
        <v>890</v>
      </c>
      <c r="B64" s="733"/>
      <c r="C64" s="275"/>
      <c r="D64" s="662" t="s">
        <v>854</v>
      </c>
      <c r="E64" s="663"/>
    </row>
    <row r="65" spans="1:5" s="58" customFormat="1" ht="18" customHeight="1" x14ac:dyDescent="0.25">
      <c r="A65" s="734" t="s">
        <v>855</v>
      </c>
      <c r="B65" s="735"/>
      <c r="C65" s="690">
        <v>7.32</v>
      </c>
      <c r="D65" s="276"/>
      <c r="E65" s="211"/>
    </row>
    <row r="66" spans="1:5" s="58" customFormat="1" ht="15" customHeight="1" x14ac:dyDescent="0.25">
      <c r="A66" s="734" t="s">
        <v>210</v>
      </c>
      <c r="B66" s="735"/>
      <c r="C66" s="690">
        <v>90.8</v>
      </c>
      <c r="D66" s="276"/>
      <c r="E66" s="211"/>
    </row>
    <row r="67" spans="1:5" s="58" customFormat="1" ht="35.25" customHeight="1" x14ac:dyDescent="0.25">
      <c r="A67" s="734" t="s">
        <v>891</v>
      </c>
      <c r="B67" s="735"/>
      <c r="C67" s="690">
        <v>748</v>
      </c>
      <c r="D67" s="209"/>
      <c r="E67" s="201"/>
    </row>
    <row r="68" spans="1:5" s="58" customFormat="1" ht="18.75" customHeight="1" x14ac:dyDescent="0.25">
      <c r="A68" s="210"/>
      <c r="B68" s="736" t="s">
        <v>262</v>
      </c>
      <c r="C68" s="736"/>
      <c r="D68" s="784" t="s">
        <v>263</v>
      </c>
      <c r="E68" s="784"/>
    </row>
    <row r="69" spans="1:5" s="58" customFormat="1" ht="18.75" customHeight="1" x14ac:dyDescent="0.25">
      <c r="A69" s="210"/>
      <c r="B69" s="283" t="s">
        <v>256</v>
      </c>
      <c r="C69" s="283" t="s">
        <v>79</v>
      </c>
      <c r="D69" s="283" t="s">
        <v>256</v>
      </c>
      <c r="E69" s="283" t="s">
        <v>79</v>
      </c>
    </row>
    <row r="70" spans="1:5" s="58" customFormat="1" ht="18.75" customHeight="1" x14ac:dyDescent="0.25">
      <c r="A70" s="664" t="s">
        <v>42</v>
      </c>
      <c r="B70" s="284">
        <v>3.15E-2</v>
      </c>
      <c r="C70" s="285">
        <v>4.7199999999999999E-2</v>
      </c>
      <c r="D70" s="284">
        <v>3.15E-2</v>
      </c>
      <c r="E70" s="285">
        <v>4.7199999999999999E-2</v>
      </c>
    </row>
    <row r="71" spans="1:5" s="58" customFormat="1" ht="18.75" customHeight="1" x14ac:dyDescent="0.25">
      <c r="A71" s="664" t="s">
        <v>257</v>
      </c>
      <c r="B71" s="284">
        <v>8.6E-3</v>
      </c>
      <c r="C71" s="284">
        <v>1.29E-2</v>
      </c>
      <c r="D71" s="284">
        <v>8.6E-3</v>
      </c>
      <c r="E71" s="284">
        <v>1.29E-2</v>
      </c>
    </row>
    <row r="72" spans="1:5" s="58" customFormat="1" ht="18.75" customHeight="1" x14ac:dyDescent="0.25">
      <c r="A72" s="664" t="s">
        <v>259</v>
      </c>
      <c r="B72" s="38"/>
      <c r="C72" s="290"/>
      <c r="D72" s="284">
        <v>1.4E-3</v>
      </c>
      <c r="E72" s="284">
        <v>2.0999999999999999E-3</v>
      </c>
    </row>
    <row r="73" spans="1:5" s="58" customFormat="1" ht="35.25" customHeight="1" x14ac:dyDescent="0.25">
      <c r="A73" s="287" t="s">
        <v>264</v>
      </c>
      <c r="B73" s="288">
        <f>+B70+B71</f>
        <v>4.0099999999999997E-2</v>
      </c>
      <c r="C73" s="288">
        <f>+C70+C71</f>
        <v>6.0100000000000001E-2</v>
      </c>
      <c r="D73" s="288">
        <f>SUM(D70:D72)</f>
        <v>4.1499999999999995E-2</v>
      </c>
      <c r="E73" s="288">
        <f>SUM(E70:E72)</f>
        <v>6.2199999999999998E-2</v>
      </c>
    </row>
    <row r="74" spans="1:5" s="58" customFormat="1" ht="27" customHeight="1" x14ac:dyDescent="0.25">
      <c r="A74" s="665"/>
      <c r="B74" s="289"/>
      <c r="C74" s="289"/>
      <c r="D74" s="289"/>
      <c r="E74" s="289"/>
    </row>
    <row r="75" spans="1:5" s="58" customFormat="1" ht="18.75" customHeight="1" x14ac:dyDescent="0.25">
      <c r="A75" s="210"/>
      <c r="B75" s="210"/>
      <c r="C75" s="286"/>
      <c r="D75" s="283" t="s">
        <v>78</v>
      </c>
      <c r="E75" s="287" t="s">
        <v>79</v>
      </c>
    </row>
    <row r="76" spans="1:5" s="58" customFormat="1" ht="18.75" customHeight="1" x14ac:dyDescent="0.25">
      <c r="A76" s="664" t="s">
        <v>43</v>
      </c>
      <c r="B76" s="210"/>
      <c r="C76" s="286"/>
      <c r="D76" s="284">
        <v>8.6400000000000005E-2</v>
      </c>
      <c r="E76" s="284">
        <v>0.1295</v>
      </c>
    </row>
    <row r="77" spans="1:5" s="58" customFormat="1" ht="18.75" customHeight="1" x14ac:dyDescent="0.25">
      <c r="A77" s="664" t="s">
        <v>258</v>
      </c>
      <c r="B77" s="210"/>
      <c r="C77" s="286"/>
      <c r="D77" s="284">
        <v>1.0800000000000001E-2</v>
      </c>
      <c r="E77" s="284">
        <v>1.6199999999999999E-2</v>
      </c>
    </row>
    <row r="78" spans="1:5" s="58" customFormat="1" ht="18.75" customHeight="1" x14ac:dyDescent="0.25">
      <c r="A78" s="664" t="s">
        <v>260</v>
      </c>
      <c r="B78" s="210"/>
      <c r="C78" s="286"/>
      <c r="D78" s="284">
        <v>1.4E-3</v>
      </c>
      <c r="E78" s="284">
        <v>2.0999999999999999E-3</v>
      </c>
    </row>
    <row r="79" spans="1:5" s="58" customFormat="1" ht="33" customHeight="1" x14ac:dyDescent="0.25">
      <c r="A79" s="287" t="s">
        <v>265</v>
      </c>
      <c r="B79" s="210"/>
      <c r="C79" s="286"/>
      <c r="D79" s="288">
        <f>SUM(D76:D78)</f>
        <v>9.8600000000000007E-2</v>
      </c>
      <c r="E79" s="288">
        <f>SUM(E76:E78)</f>
        <v>0.14779999999999999</v>
      </c>
    </row>
    <row r="80" spans="1:5" s="58" customFormat="1" ht="35.25" customHeight="1" x14ac:dyDescent="0.25">
      <c r="A80" s="183"/>
      <c r="C80" s="278"/>
      <c r="D80" s="279"/>
      <c r="E80" s="183"/>
    </row>
    <row r="81" spans="1:8" s="58" customFormat="1" ht="35.25" customHeight="1" x14ac:dyDescent="0.25">
      <c r="C81" s="280"/>
      <c r="D81" s="209"/>
      <c r="E81" s="201"/>
    </row>
    <row r="82" spans="1:8" s="58" customFormat="1" ht="35.25" customHeight="1" x14ac:dyDescent="0.25">
      <c r="A82" s="737" t="s">
        <v>856</v>
      </c>
      <c r="B82" s="738"/>
      <c r="C82" s="738"/>
      <c r="D82" s="739"/>
      <c r="E82" s="201"/>
    </row>
    <row r="83" spans="1:8" s="58" customFormat="1" ht="42" customHeight="1" x14ac:dyDescent="0.25">
      <c r="A83" s="740" t="s">
        <v>203</v>
      </c>
      <c r="B83" s="741"/>
      <c r="C83" s="76" t="s">
        <v>475</v>
      </c>
      <c r="D83" s="76" t="s">
        <v>471</v>
      </c>
      <c r="E83" s="201"/>
    </row>
    <row r="84" spans="1:8" s="58" customFormat="1" ht="35.25" customHeight="1" x14ac:dyDescent="0.25">
      <c r="A84" s="737" t="s">
        <v>204</v>
      </c>
      <c r="B84" s="739"/>
      <c r="C84" s="281" t="s">
        <v>205</v>
      </c>
      <c r="D84" s="493">
        <v>3.2000000000000001E-2</v>
      </c>
      <c r="E84" s="201"/>
      <c r="H84" s="58">
        <f>50%*2522.52*3/91.25</f>
        <v>41.466082191780821</v>
      </c>
    </row>
    <row r="85" spans="1:8" s="58" customFormat="1" ht="35.25" customHeight="1" x14ac:dyDescent="0.25">
      <c r="A85" s="737" t="s">
        <v>206</v>
      </c>
      <c r="B85" s="739"/>
      <c r="C85" s="281" t="s">
        <v>205</v>
      </c>
      <c r="D85" s="493">
        <v>3.2000000000000001E-2</v>
      </c>
      <c r="E85" s="201"/>
    </row>
    <row r="86" spans="1:8" ht="47.25" customHeight="1" x14ac:dyDescent="0.25">
      <c r="A86" s="742" t="s">
        <v>207</v>
      </c>
      <c r="B86" s="742"/>
      <c r="C86" s="281" t="s">
        <v>472</v>
      </c>
      <c r="D86" s="281" t="s">
        <v>472</v>
      </c>
    </row>
    <row r="87" spans="1:8" ht="35.25" customHeight="1" x14ac:dyDescent="0.25">
      <c r="A87" s="729"/>
      <c r="B87" s="729"/>
      <c r="C87" s="494"/>
    </row>
    <row r="88" spans="1:8" ht="35.25" customHeight="1" x14ac:dyDescent="0.25">
      <c r="A88" t="s">
        <v>208</v>
      </c>
    </row>
    <row r="89" spans="1:8" ht="35.25" customHeight="1" x14ac:dyDescent="0.25">
      <c r="A89" s="58" t="s">
        <v>857</v>
      </c>
    </row>
    <row r="90" spans="1:8" ht="35.25" customHeight="1" x14ac:dyDescent="0.25">
      <c r="B90" s="58"/>
      <c r="C90" s="277"/>
    </row>
  </sheetData>
  <mergeCells count="72">
    <mergeCell ref="A52:B52"/>
    <mergeCell ref="A53:B53"/>
    <mergeCell ref="A55:B55"/>
    <mergeCell ref="A56:B56"/>
    <mergeCell ref="D68:E68"/>
    <mergeCell ref="A58:B58"/>
    <mergeCell ref="A59:B59"/>
    <mergeCell ref="A60:B60"/>
    <mergeCell ref="A61:B61"/>
    <mergeCell ref="A62:D62"/>
    <mergeCell ref="A47:B47"/>
    <mergeCell ref="A48:B48"/>
    <mergeCell ref="A49:B49"/>
    <mergeCell ref="A50:D50"/>
    <mergeCell ref="A51:B51"/>
    <mergeCell ref="A32:B32"/>
    <mergeCell ref="A33:B33"/>
    <mergeCell ref="A34:B34"/>
    <mergeCell ref="A35:B35"/>
    <mergeCell ref="A46:B46"/>
    <mergeCell ref="A36:B36"/>
    <mergeCell ref="A37:B37"/>
    <mergeCell ref="A38:B38"/>
    <mergeCell ref="A39:B39"/>
    <mergeCell ref="A40:B40"/>
    <mergeCell ref="A41:B41"/>
    <mergeCell ref="A42:B42"/>
    <mergeCell ref="A43:D43"/>
    <mergeCell ref="A44:B44"/>
    <mergeCell ref="A45:B45"/>
    <mergeCell ref="A26:B26"/>
    <mergeCell ref="A27:B27"/>
    <mergeCell ref="A28:B28"/>
    <mergeCell ref="A29:B29"/>
    <mergeCell ref="A30:B30"/>
    <mergeCell ref="A10:B10"/>
    <mergeCell ref="A11:B11"/>
    <mergeCell ref="A12:B12"/>
    <mergeCell ref="A13:B13"/>
    <mergeCell ref="A14:B14"/>
    <mergeCell ref="A1:B1"/>
    <mergeCell ref="A2:B2"/>
    <mergeCell ref="A3:B3"/>
    <mergeCell ref="A4:B4"/>
    <mergeCell ref="A5:B5"/>
    <mergeCell ref="E5:E6"/>
    <mergeCell ref="A6:B6"/>
    <mergeCell ref="A7:D7"/>
    <mergeCell ref="A8:B8"/>
    <mergeCell ref="A9:B9"/>
    <mergeCell ref="A15:B15"/>
    <mergeCell ref="A16:D16"/>
    <mergeCell ref="A17:B17"/>
    <mergeCell ref="A18:B18"/>
    <mergeCell ref="A19:B19"/>
    <mergeCell ref="A20:B20"/>
    <mergeCell ref="A21:B21"/>
    <mergeCell ref="A22:B22"/>
    <mergeCell ref="A23:B23"/>
    <mergeCell ref="A24:B24"/>
    <mergeCell ref="A87:B87"/>
    <mergeCell ref="A63:B63"/>
    <mergeCell ref="A64:B64"/>
    <mergeCell ref="A65:B65"/>
    <mergeCell ref="A66:B66"/>
    <mergeCell ref="B68:C68"/>
    <mergeCell ref="A82:D82"/>
    <mergeCell ref="A83:B83"/>
    <mergeCell ref="A84:B84"/>
    <mergeCell ref="A85:B85"/>
    <mergeCell ref="A86:B86"/>
    <mergeCell ref="A67:B67"/>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2:D36"/>
  <sheetViews>
    <sheetView workbookViewId="0">
      <selection activeCell="O8" sqref="O8"/>
    </sheetView>
  </sheetViews>
  <sheetFormatPr baseColWidth="10" defaultColWidth="11.5703125" defaultRowHeight="15.75" x14ac:dyDescent="0.25"/>
  <cols>
    <col min="1" max="1" width="5.42578125" style="183" customWidth="1"/>
    <col min="2" max="2" width="14.85546875" style="183" customWidth="1"/>
    <col min="3" max="16384" width="11.5703125" style="183"/>
  </cols>
  <sheetData>
    <row r="2" spans="2:4" x14ac:dyDescent="0.25">
      <c r="B2" s="183" t="s">
        <v>792</v>
      </c>
    </row>
    <row r="4" spans="2:4" x14ac:dyDescent="0.25">
      <c r="B4" s="183" t="s">
        <v>828</v>
      </c>
    </row>
    <row r="5" spans="2:4" x14ac:dyDescent="0.25">
      <c r="B5" s="183" t="s">
        <v>793</v>
      </c>
    </row>
    <row r="6" spans="2:4" x14ac:dyDescent="0.25">
      <c r="B6" s="183" t="s">
        <v>858</v>
      </c>
    </row>
    <row r="7" spans="2:4" x14ac:dyDescent="0.25">
      <c r="B7" s="183" t="s">
        <v>826</v>
      </c>
    </row>
    <row r="9" spans="2:4" x14ac:dyDescent="0.25">
      <c r="C9" s="612" t="s">
        <v>794</v>
      </c>
      <c r="D9" s="183" t="s">
        <v>795</v>
      </c>
    </row>
    <row r="10" spans="2:4" x14ac:dyDescent="0.25">
      <c r="D10" s="183" t="s">
        <v>796</v>
      </c>
    </row>
    <row r="11" spans="2:4" x14ac:dyDescent="0.25">
      <c r="D11" s="183" t="s">
        <v>859</v>
      </c>
    </row>
    <row r="13" spans="2:4" x14ac:dyDescent="0.25">
      <c r="C13" s="613" t="s">
        <v>797</v>
      </c>
      <c r="D13" s="183" t="s">
        <v>798</v>
      </c>
    </row>
    <row r="14" spans="2:4" x14ac:dyDescent="0.25">
      <c r="D14" s="183" t="s">
        <v>799</v>
      </c>
    </row>
    <row r="16" spans="2:4" x14ac:dyDescent="0.25">
      <c r="B16" s="183" t="s">
        <v>800</v>
      </c>
    </row>
    <row r="18" spans="2:4" x14ac:dyDescent="0.25">
      <c r="C18" s="183" t="s">
        <v>801</v>
      </c>
    </row>
    <row r="19" spans="2:4" x14ac:dyDescent="0.25">
      <c r="C19" s="183" t="s">
        <v>802</v>
      </c>
    </row>
    <row r="20" spans="2:4" x14ac:dyDescent="0.25">
      <c r="C20" s="183" t="s">
        <v>803</v>
      </c>
    </row>
    <row r="21" spans="2:4" x14ac:dyDescent="0.25">
      <c r="C21" s="183" t="s">
        <v>804</v>
      </c>
    </row>
    <row r="23" spans="2:4" x14ac:dyDescent="0.25">
      <c r="B23" s="183" t="s">
        <v>805</v>
      </c>
    </row>
    <row r="24" spans="2:4" x14ac:dyDescent="0.25">
      <c r="D24" s="183">
        <v>128</v>
      </c>
    </row>
    <row r="25" spans="2:4" x14ac:dyDescent="0.25">
      <c r="D25" s="183">
        <v>132</v>
      </c>
    </row>
    <row r="26" spans="2:4" x14ac:dyDescent="0.25">
      <c r="D26" s="183">
        <v>133</v>
      </c>
    </row>
    <row r="27" spans="2:4" x14ac:dyDescent="0.25">
      <c r="D27" s="183">
        <v>134</v>
      </c>
    </row>
    <row r="28" spans="2:4" x14ac:dyDescent="0.25">
      <c r="D28" s="183">
        <v>135</v>
      </c>
    </row>
    <row r="29" spans="2:4" x14ac:dyDescent="0.25">
      <c r="D29" s="183">
        <v>136</v>
      </c>
    </row>
    <row r="30" spans="2:4" x14ac:dyDescent="0.25">
      <c r="D30" s="183">
        <v>137</v>
      </c>
    </row>
    <row r="31" spans="2:4" x14ac:dyDescent="0.25">
      <c r="C31" s="183" t="s">
        <v>806</v>
      </c>
    </row>
    <row r="34" spans="2:2" x14ac:dyDescent="0.25">
      <c r="B34" s="183" t="s">
        <v>807</v>
      </c>
    </row>
    <row r="36" spans="2:2" x14ac:dyDescent="0.25">
      <c r="B36" s="183" t="s">
        <v>827</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61" workbookViewId="0">
      <selection activeCell="G2" sqref="G2:J2"/>
    </sheetView>
  </sheetViews>
  <sheetFormatPr baseColWidth="10" defaultColWidth="13.42578125" defaultRowHeight="16.5" x14ac:dyDescent="0.3"/>
  <cols>
    <col min="1" max="1" width="17.140625" style="219" customWidth="1"/>
    <col min="2" max="2" width="23.140625" style="219" customWidth="1"/>
    <col min="3" max="3" width="17.140625" style="216" customWidth="1"/>
    <col min="4" max="5" width="12.7109375" style="217" customWidth="1"/>
    <col min="6" max="7" width="9.5703125" style="216" customWidth="1"/>
    <col min="8" max="9" width="9.5703125" style="24" customWidth="1"/>
    <col min="10" max="10" width="13" style="24" customWidth="1"/>
    <col min="11" max="16384" width="13.42578125" style="24"/>
  </cols>
  <sheetData>
    <row r="1" spans="1:10" ht="21.6" customHeight="1" x14ac:dyDescent="0.3">
      <c r="A1" s="855" t="s">
        <v>0</v>
      </c>
      <c r="B1" s="855"/>
      <c r="C1" s="855"/>
      <c r="D1" s="856"/>
      <c r="E1" s="297"/>
      <c r="F1" s="857" t="s">
        <v>1</v>
      </c>
      <c r="G1" s="858"/>
      <c r="H1" s="858"/>
      <c r="I1" s="858"/>
      <c r="J1" s="859"/>
    </row>
    <row r="2" spans="1:10" ht="15.75" customHeight="1" x14ac:dyDescent="0.3">
      <c r="A2" s="615" t="s">
        <v>291</v>
      </c>
      <c r="B2" s="860" t="s">
        <v>808</v>
      </c>
      <c r="C2" s="861"/>
      <c r="D2" s="862"/>
      <c r="E2" s="299"/>
      <c r="F2" s="300" t="s">
        <v>291</v>
      </c>
      <c r="G2" s="848" t="s">
        <v>809</v>
      </c>
      <c r="H2" s="848"/>
      <c r="I2" s="848"/>
      <c r="J2" s="848"/>
    </row>
    <row r="3" spans="1:10" ht="15.75" customHeight="1" x14ac:dyDescent="0.3">
      <c r="A3" s="615" t="s">
        <v>292</v>
      </c>
      <c r="B3" s="860" t="s">
        <v>810</v>
      </c>
      <c r="C3" s="861"/>
      <c r="D3" s="862"/>
      <c r="E3" s="299"/>
      <c r="F3" s="300" t="s">
        <v>303</v>
      </c>
      <c r="G3" s="848" t="s">
        <v>811</v>
      </c>
      <c r="H3" s="848"/>
      <c r="I3" s="848"/>
      <c r="J3" s="848"/>
    </row>
    <row r="4" spans="1:10" ht="15.75" customHeight="1" x14ac:dyDescent="0.3">
      <c r="A4" s="615"/>
      <c r="B4" s="846"/>
      <c r="C4" s="847"/>
      <c r="D4" s="847"/>
      <c r="E4" s="299"/>
      <c r="F4" s="300" t="s">
        <v>304</v>
      </c>
      <c r="G4" s="848" t="s">
        <v>812</v>
      </c>
      <c r="H4" s="848"/>
      <c r="I4" s="848"/>
      <c r="J4" s="848"/>
    </row>
    <row r="5" spans="1:10" ht="15.75" customHeight="1" x14ac:dyDescent="0.3">
      <c r="A5" s="615" t="s">
        <v>6</v>
      </c>
      <c r="B5" s="849">
        <v>34464426500029</v>
      </c>
      <c r="C5" s="850"/>
      <c r="D5" s="851"/>
      <c r="E5" s="301"/>
      <c r="F5" s="300" t="s">
        <v>813</v>
      </c>
      <c r="G5" s="852" t="s">
        <v>814</v>
      </c>
      <c r="H5" s="848"/>
      <c r="I5" s="848"/>
      <c r="J5" s="848"/>
    </row>
    <row r="6" spans="1:10" ht="15.75" customHeight="1" x14ac:dyDescent="0.3">
      <c r="A6" s="615" t="s">
        <v>8</v>
      </c>
      <c r="B6" s="853" t="s">
        <v>815</v>
      </c>
      <c r="C6" s="850"/>
      <c r="D6" s="851"/>
      <c r="E6" s="299"/>
      <c r="F6" s="300" t="s">
        <v>816</v>
      </c>
      <c r="G6" s="854" t="s">
        <v>817</v>
      </c>
      <c r="H6" s="854"/>
      <c r="I6" s="854"/>
      <c r="J6" s="854"/>
    </row>
    <row r="7" spans="1:10" ht="15.75" customHeight="1" x14ac:dyDescent="0.3">
      <c r="A7" s="615" t="s">
        <v>10</v>
      </c>
      <c r="B7" s="863"/>
      <c r="C7" s="864"/>
      <c r="D7" s="865"/>
      <c r="E7" s="301"/>
      <c r="F7" s="302" t="s">
        <v>292</v>
      </c>
      <c r="G7" s="848" t="s">
        <v>818</v>
      </c>
      <c r="H7" s="848"/>
      <c r="I7" s="848"/>
      <c r="J7" s="848"/>
    </row>
    <row r="8" spans="1:10" ht="15.75" customHeight="1" x14ac:dyDescent="0.3">
      <c r="A8" s="615" t="s">
        <v>11</v>
      </c>
      <c r="B8" s="616">
        <v>60</v>
      </c>
      <c r="C8" s="866"/>
      <c r="D8" s="867"/>
      <c r="E8" s="299"/>
      <c r="F8" s="868" t="s">
        <v>12</v>
      </c>
      <c r="G8" s="869"/>
      <c r="H8" s="304"/>
      <c r="I8" s="305">
        <v>1</v>
      </c>
      <c r="J8" s="305" t="s">
        <v>819</v>
      </c>
    </row>
    <row r="9" spans="1:10" ht="23.45" customHeight="1" x14ac:dyDescent="0.3">
      <c r="A9" s="617" t="s">
        <v>13</v>
      </c>
      <c r="B9" s="618">
        <v>151.66999999999999</v>
      </c>
      <c r="C9" s="310" t="s">
        <v>14</v>
      </c>
      <c r="D9" s="619">
        <v>11.88</v>
      </c>
      <c r="E9" s="299"/>
      <c r="F9" s="844" t="s">
        <v>820</v>
      </c>
      <c r="G9" s="836"/>
      <c r="H9" s="620">
        <v>45658</v>
      </c>
      <c r="I9" s="621" t="s">
        <v>821</v>
      </c>
      <c r="J9" s="620">
        <v>45688</v>
      </c>
    </row>
    <row r="10" spans="1:10" ht="26.25" customHeight="1" x14ac:dyDescent="0.3">
      <c r="A10" s="595"/>
      <c r="B10" s="845"/>
      <c r="C10" s="727"/>
      <c r="D10" s="728"/>
      <c r="E10" s="311"/>
      <c r="F10" s="310" t="s">
        <v>16</v>
      </c>
      <c r="G10" s="622">
        <v>45688</v>
      </c>
      <c r="H10" s="63"/>
      <c r="I10" s="63"/>
      <c r="J10" s="359"/>
    </row>
    <row r="11" spans="1:10" ht="13.9" customHeight="1" x14ac:dyDescent="0.3">
      <c r="A11" s="843"/>
      <c r="B11" s="843"/>
      <c r="C11" s="843"/>
      <c r="D11" s="843"/>
      <c r="E11" s="843"/>
      <c r="F11" s="843"/>
      <c r="G11" s="843"/>
      <c r="H11" s="843"/>
      <c r="I11" s="843"/>
      <c r="J11" s="843"/>
    </row>
    <row r="12" spans="1:10" ht="15.75" customHeight="1" x14ac:dyDescent="0.3">
      <c r="A12" s="835" t="s">
        <v>17</v>
      </c>
      <c r="B12" s="835"/>
      <c r="C12" s="835"/>
      <c r="D12" s="835"/>
      <c r="E12" s="835"/>
      <c r="F12" s="836"/>
      <c r="G12" s="313">
        <v>151.66999999999999</v>
      </c>
      <c r="H12" s="310" t="s">
        <v>18</v>
      </c>
      <c r="I12" s="314">
        <f>J12/G12</f>
        <v>20.456055910859106</v>
      </c>
      <c r="J12" s="315">
        <v>3102.57</v>
      </c>
    </row>
    <row r="13" spans="1:10" ht="15.75" hidden="1" customHeight="1" x14ac:dyDescent="0.3">
      <c r="A13" s="835" t="s">
        <v>224</v>
      </c>
      <c r="B13" s="835"/>
      <c r="C13" s="835"/>
      <c r="D13" s="835"/>
      <c r="E13" s="835"/>
      <c r="F13" s="836"/>
      <c r="G13" s="310"/>
      <c r="H13" s="310"/>
      <c r="I13" s="314"/>
      <c r="J13" s="315"/>
    </row>
    <row r="14" spans="1:10" ht="15" customHeight="1" x14ac:dyDescent="0.3">
      <c r="A14" s="835" t="s">
        <v>380</v>
      </c>
      <c r="B14" s="835"/>
      <c r="C14" s="835"/>
      <c r="D14" s="835"/>
      <c r="E14" s="835"/>
      <c r="F14" s="836"/>
      <c r="G14" s="316"/>
      <c r="H14" s="317"/>
      <c r="I14" s="314"/>
      <c r="J14" s="315"/>
    </row>
    <row r="15" spans="1:10" ht="15.75" hidden="1" customHeight="1" x14ac:dyDescent="0.3">
      <c r="A15" s="835" t="s">
        <v>822</v>
      </c>
      <c r="B15" s="835"/>
      <c r="C15" s="835"/>
      <c r="D15" s="835"/>
      <c r="E15" s="835"/>
      <c r="F15" s="836"/>
      <c r="G15" s="316"/>
      <c r="H15" s="317"/>
      <c r="I15" s="314"/>
      <c r="J15" s="315"/>
    </row>
    <row r="16" spans="1:10" ht="15.75" hidden="1" customHeight="1" x14ac:dyDescent="0.3">
      <c r="A16" s="835" t="s">
        <v>19</v>
      </c>
      <c r="B16" s="835"/>
      <c r="C16" s="835"/>
      <c r="D16" s="835"/>
      <c r="E16" s="835"/>
      <c r="F16" s="836"/>
      <c r="G16" s="316"/>
      <c r="H16" s="317" t="s">
        <v>18</v>
      </c>
      <c r="I16" s="314"/>
      <c r="J16" s="315"/>
    </row>
    <row r="17" spans="1:10" ht="15.75" hidden="1" customHeight="1" x14ac:dyDescent="0.3">
      <c r="A17" s="835" t="s">
        <v>225</v>
      </c>
      <c r="B17" s="835"/>
      <c r="C17" s="835"/>
      <c r="D17" s="835"/>
      <c r="E17" s="835"/>
      <c r="F17" s="836"/>
      <c r="G17" s="316"/>
      <c r="H17" s="317" t="s">
        <v>18</v>
      </c>
      <c r="I17" s="314"/>
      <c r="J17" s="315"/>
    </row>
    <row r="18" spans="1:10" ht="15.75" hidden="1" customHeight="1" x14ac:dyDescent="0.3">
      <c r="A18" s="835" t="s">
        <v>226</v>
      </c>
      <c r="B18" s="835"/>
      <c r="C18" s="835"/>
      <c r="D18" s="835"/>
      <c r="E18" s="835"/>
      <c r="F18" s="836"/>
      <c r="G18" s="316"/>
      <c r="H18" s="317" t="s">
        <v>18</v>
      </c>
      <c r="I18" s="314"/>
      <c r="J18" s="315"/>
    </row>
    <row r="19" spans="1:10" ht="15.75" hidden="1" customHeight="1" x14ac:dyDescent="0.3">
      <c r="A19" s="835" t="s">
        <v>227</v>
      </c>
      <c r="B19" s="835"/>
      <c r="C19" s="835"/>
      <c r="D19" s="835"/>
      <c r="E19" s="835"/>
      <c r="F19" s="836"/>
      <c r="G19" s="316"/>
      <c r="H19" s="317" t="s">
        <v>18</v>
      </c>
      <c r="I19" s="314"/>
      <c r="J19" s="315"/>
    </row>
    <row r="20" spans="1:10" ht="15.75" hidden="1" customHeight="1" x14ac:dyDescent="0.3">
      <c r="A20" s="835" t="s">
        <v>228</v>
      </c>
      <c r="B20" s="835"/>
      <c r="C20" s="835"/>
      <c r="D20" s="835"/>
      <c r="E20" s="835"/>
      <c r="F20" s="836"/>
      <c r="G20" s="432" t="e">
        <f>'[2]Masque de Saisie'!E47</f>
        <v>#REF!</v>
      </c>
      <c r="H20" s="317" t="s">
        <v>18</v>
      </c>
      <c r="I20" s="314">
        <f>ROUND(((J12+J15)*1.25/G12),6)</f>
        <v>25.570070000000001</v>
      </c>
      <c r="J20" s="315"/>
    </row>
    <row r="21" spans="1:10" ht="15.75" hidden="1" customHeight="1" x14ac:dyDescent="0.3">
      <c r="A21" s="835" t="s">
        <v>229</v>
      </c>
      <c r="B21" s="835"/>
      <c r="C21" s="835"/>
      <c r="D21" s="835"/>
      <c r="E21" s="835"/>
      <c r="F21" s="836"/>
      <c r="G21" s="316"/>
      <c r="H21" s="317" t="s">
        <v>20</v>
      </c>
      <c r="I21" s="310"/>
      <c r="J21" s="315"/>
    </row>
    <row r="22" spans="1:10" ht="15.75" hidden="1" customHeight="1" x14ac:dyDescent="0.3">
      <c r="A22" s="835" t="s">
        <v>823</v>
      </c>
      <c r="B22" s="835"/>
      <c r="C22" s="835"/>
      <c r="D22" s="835"/>
      <c r="E22" s="835"/>
      <c r="F22" s="836"/>
      <c r="G22" s="312"/>
      <c r="H22" s="318"/>
      <c r="I22" s="306"/>
      <c r="J22" s="319"/>
    </row>
    <row r="23" spans="1:10" ht="15.75" hidden="1" customHeight="1" x14ac:dyDescent="0.3">
      <c r="A23" s="835" t="s">
        <v>21</v>
      </c>
      <c r="B23" s="835"/>
      <c r="C23" s="835"/>
      <c r="D23" s="835"/>
      <c r="E23" s="835"/>
      <c r="F23" s="836"/>
      <c r="G23" s="312"/>
      <c r="H23" s="318"/>
      <c r="I23" s="306"/>
      <c r="J23" s="319"/>
    </row>
    <row r="24" spans="1:10" ht="15.75" hidden="1" customHeight="1" x14ac:dyDescent="0.3">
      <c r="A24" s="835" t="s">
        <v>22</v>
      </c>
      <c r="B24" s="835"/>
      <c r="C24" s="835"/>
      <c r="D24" s="835"/>
      <c r="E24" s="835"/>
      <c r="F24" s="836"/>
      <c r="G24" s="312"/>
      <c r="H24" s="318"/>
      <c r="I24" s="306"/>
      <c r="J24" s="319"/>
    </row>
    <row r="25" spans="1:10" ht="15.75" hidden="1" customHeight="1" x14ac:dyDescent="0.3">
      <c r="A25" s="835" t="s">
        <v>23</v>
      </c>
      <c r="B25" s="835"/>
      <c r="C25" s="835"/>
      <c r="D25" s="835"/>
      <c r="E25" s="835"/>
      <c r="F25" s="836"/>
      <c r="G25" s="312"/>
      <c r="H25" s="318"/>
      <c r="I25" s="306"/>
      <c r="J25" s="319"/>
    </row>
    <row r="26" spans="1:10" ht="15.75" hidden="1" customHeight="1" x14ac:dyDescent="0.3">
      <c r="A26" s="835" t="s">
        <v>24</v>
      </c>
      <c r="B26" s="835"/>
      <c r="C26" s="835"/>
      <c r="D26" s="835"/>
      <c r="E26" s="835"/>
      <c r="F26" s="836"/>
      <c r="G26" s="312"/>
      <c r="H26" s="318"/>
      <c r="I26" s="306"/>
      <c r="J26" s="319"/>
    </row>
    <row r="27" spans="1:10" ht="15.75" hidden="1" customHeight="1" x14ac:dyDescent="0.3">
      <c r="A27" s="835" t="s">
        <v>25</v>
      </c>
      <c r="B27" s="835"/>
      <c r="C27" s="835"/>
      <c r="D27" s="835"/>
      <c r="E27" s="835"/>
      <c r="F27" s="836"/>
      <c r="G27" s="312"/>
      <c r="H27" s="318"/>
      <c r="I27" s="306"/>
      <c r="J27" s="319"/>
    </row>
    <row r="28" spans="1:10" ht="15.75" hidden="1" customHeight="1" x14ac:dyDescent="0.3">
      <c r="A28" s="835" t="s">
        <v>26</v>
      </c>
      <c r="B28" s="835"/>
      <c r="C28" s="835"/>
      <c r="D28" s="835"/>
      <c r="E28" s="835"/>
      <c r="F28" s="836"/>
      <c r="G28" s="312"/>
      <c r="H28" s="318"/>
      <c r="I28" s="306"/>
      <c r="J28" s="319"/>
    </row>
    <row r="29" spans="1:10" ht="15.75" hidden="1" customHeight="1" x14ac:dyDescent="0.3">
      <c r="A29" s="835" t="s">
        <v>27</v>
      </c>
      <c r="B29" s="835"/>
      <c r="C29" s="835"/>
      <c r="D29" s="835"/>
      <c r="E29" s="835"/>
      <c r="F29" s="836"/>
      <c r="G29" s="312"/>
      <c r="H29" s="318"/>
      <c r="I29" s="306"/>
      <c r="J29" s="319"/>
    </row>
    <row r="30" spans="1:10" ht="15.75" hidden="1" customHeight="1" x14ac:dyDescent="0.3">
      <c r="A30" s="835" t="s">
        <v>28</v>
      </c>
      <c r="B30" s="835"/>
      <c r="C30" s="835"/>
      <c r="D30" s="835"/>
      <c r="E30" s="835"/>
      <c r="F30" s="836"/>
      <c r="G30" s="312"/>
      <c r="H30" s="318"/>
      <c r="I30" s="306"/>
      <c r="J30" s="319"/>
    </row>
    <row r="31" spans="1:10" ht="15.75" hidden="1" customHeight="1" x14ac:dyDescent="0.3">
      <c r="A31" s="835"/>
      <c r="B31" s="835"/>
      <c r="C31" s="835"/>
      <c r="D31" s="835"/>
      <c r="E31" s="835"/>
      <c r="F31" s="836"/>
      <c r="G31" s="312"/>
      <c r="H31" s="318"/>
      <c r="I31" s="306"/>
      <c r="J31" s="319"/>
    </row>
    <row r="32" spans="1:10" ht="15.75" customHeight="1" x14ac:dyDescent="0.3">
      <c r="A32" s="837" t="s">
        <v>29</v>
      </c>
      <c r="B32" s="837"/>
      <c r="C32" s="619">
        <v>3925</v>
      </c>
      <c r="D32" s="838" t="s">
        <v>30</v>
      </c>
      <c r="E32" s="839"/>
      <c r="F32" s="839"/>
      <c r="G32" s="839"/>
      <c r="H32" s="839"/>
      <c r="I32" s="840"/>
      <c r="J32" s="623">
        <f>J12</f>
        <v>3102.57</v>
      </c>
    </row>
    <row r="33" spans="1:12" ht="14.25" customHeight="1" x14ac:dyDescent="0.3">
      <c r="A33" s="841"/>
      <c r="B33" s="841"/>
      <c r="C33" s="841"/>
      <c r="D33" s="841"/>
      <c r="E33" s="841"/>
      <c r="F33" s="841"/>
      <c r="G33" s="841"/>
      <c r="H33" s="841"/>
      <c r="I33" s="841"/>
      <c r="J33" s="842"/>
    </row>
    <row r="34" spans="1:12" ht="45.6" customHeight="1" x14ac:dyDescent="0.3">
      <c r="A34" s="830" t="s">
        <v>278</v>
      </c>
      <c r="B34" s="831"/>
      <c r="C34" s="787" t="s">
        <v>32</v>
      </c>
      <c r="D34" s="787"/>
      <c r="E34" s="356" t="s">
        <v>33</v>
      </c>
      <c r="F34" s="356" t="s">
        <v>34</v>
      </c>
      <c r="G34" s="787" t="s">
        <v>35</v>
      </c>
      <c r="H34" s="787"/>
      <c r="I34" s="787" t="s">
        <v>36</v>
      </c>
      <c r="J34" s="787"/>
    </row>
    <row r="35" spans="1:12" ht="19.899999999999999" customHeight="1" x14ac:dyDescent="0.3">
      <c r="A35" s="832" t="s">
        <v>37</v>
      </c>
      <c r="B35" s="833"/>
      <c r="C35" s="834"/>
      <c r="D35" s="834"/>
      <c r="E35" s="834"/>
      <c r="F35" s="834"/>
      <c r="G35" s="834"/>
      <c r="H35" s="834"/>
      <c r="I35" s="834"/>
      <c r="J35" s="834"/>
    </row>
    <row r="36" spans="1:12" ht="30.6" customHeight="1" x14ac:dyDescent="0.3">
      <c r="A36" s="766" t="s">
        <v>261</v>
      </c>
      <c r="B36" s="825"/>
      <c r="C36" s="793">
        <f>J32</f>
        <v>3102.57</v>
      </c>
      <c r="D36" s="793"/>
      <c r="E36" s="625"/>
      <c r="F36" s="626">
        <f>VLOOKUP(A36,TABLETAUX1,4,FALSE)</f>
        <v>7.0000000000000007E-2</v>
      </c>
      <c r="G36" s="793">
        <f>ROUND(C36*E36,2)</f>
        <v>0</v>
      </c>
      <c r="H36" s="793"/>
      <c r="I36" s="793">
        <f>ROUND(C36*F36,2)</f>
        <v>217.18</v>
      </c>
      <c r="J36" s="793"/>
    </row>
    <row r="37" spans="1:12" ht="30.6" customHeight="1" x14ac:dyDescent="0.3">
      <c r="A37" s="766" t="s">
        <v>196</v>
      </c>
      <c r="B37" s="825"/>
      <c r="C37" s="793"/>
      <c r="D37" s="793"/>
      <c r="E37" s="625"/>
      <c r="F37" s="626">
        <f>VLOOKUP(A37,TABLETAUX1,4,FALSE)</f>
        <v>0.06</v>
      </c>
      <c r="G37" s="793">
        <f t="shared" ref="G37:G41" si="0">ROUND(C37*E37,2)</f>
        <v>0</v>
      </c>
      <c r="H37" s="793"/>
      <c r="I37" s="793">
        <f t="shared" ref="I37:I41" si="1">ROUND(C37*F37,2)</f>
        <v>0</v>
      </c>
      <c r="J37" s="793"/>
    </row>
    <row r="38" spans="1:12" ht="30.75" hidden="1" customHeight="1" x14ac:dyDescent="0.3">
      <c r="A38" s="829"/>
      <c r="B38" s="829"/>
      <c r="C38" s="793"/>
      <c r="D38" s="793"/>
      <c r="E38" s="627"/>
      <c r="F38" s="626"/>
      <c r="G38" s="793">
        <f t="shared" si="0"/>
        <v>0</v>
      </c>
      <c r="H38" s="793"/>
      <c r="I38" s="793">
        <f t="shared" si="1"/>
        <v>0</v>
      </c>
      <c r="J38" s="793"/>
    </row>
    <row r="39" spans="1:12" ht="22.9" customHeight="1" x14ac:dyDescent="0.3">
      <c r="A39" s="766" t="s">
        <v>239</v>
      </c>
      <c r="B39" s="825"/>
      <c r="C39" s="793">
        <f>J32</f>
        <v>3102.57</v>
      </c>
      <c r="D39" s="793"/>
      <c r="E39" s="625">
        <f>VLOOKUP(A39,TABLETAUX1,3,FALSE)</f>
        <v>0.01</v>
      </c>
      <c r="F39" s="626">
        <f>VLOOKUP(A39,TABLETAUX1,4,FALSE)</f>
        <v>1.7999999999999999E-2</v>
      </c>
      <c r="G39" s="793">
        <f t="shared" si="0"/>
        <v>31.03</v>
      </c>
      <c r="H39" s="793"/>
      <c r="I39" s="793">
        <f t="shared" si="1"/>
        <v>55.85</v>
      </c>
      <c r="J39" s="793"/>
    </row>
    <row r="40" spans="1:12" ht="22.9" customHeight="1" x14ac:dyDescent="0.3">
      <c r="A40" s="827" t="s">
        <v>197</v>
      </c>
      <c r="B40" s="828"/>
      <c r="C40" s="809"/>
      <c r="D40" s="809"/>
      <c r="E40" s="625"/>
      <c r="F40" s="626"/>
      <c r="G40" s="793">
        <f t="shared" si="0"/>
        <v>0</v>
      </c>
      <c r="H40" s="793"/>
      <c r="I40" s="793">
        <f t="shared" si="1"/>
        <v>0</v>
      </c>
      <c r="J40" s="793"/>
    </row>
    <row r="41" spans="1:12" ht="20.45" customHeight="1" x14ac:dyDescent="0.3">
      <c r="A41" s="766" t="s">
        <v>192</v>
      </c>
      <c r="B41" s="825"/>
      <c r="C41" s="809"/>
      <c r="D41" s="809"/>
      <c r="E41" s="625">
        <f>VLOOKUP(A41,TABLETAUX1,3,FALSE)</f>
        <v>1.12E-2</v>
      </c>
      <c r="F41" s="626">
        <f>VLOOKUP(A41,TABLETAUX1,4,FALSE)</f>
        <v>1.6799999999999999E-2</v>
      </c>
      <c r="G41" s="793">
        <f t="shared" si="0"/>
        <v>0</v>
      </c>
      <c r="H41" s="793"/>
      <c r="I41" s="793">
        <f t="shared" si="1"/>
        <v>0</v>
      </c>
      <c r="J41" s="793"/>
    </row>
    <row r="42" spans="1:12" ht="22.9" hidden="1" customHeight="1" x14ac:dyDescent="0.3">
      <c r="A42" s="766"/>
      <c r="B42" s="825"/>
      <c r="C42" s="809"/>
      <c r="D42" s="809"/>
      <c r="E42" s="625"/>
      <c r="F42" s="626"/>
      <c r="G42" s="809"/>
      <c r="H42" s="809"/>
      <c r="I42" s="809"/>
      <c r="J42" s="809"/>
    </row>
    <row r="43" spans="1:12" ht="22.9" hidden="1" customHeight="1" x14ac:dyDescent="0.3">
      <c r="A43" s="826"/>
      <c r="B43" s="826"/>
      <c r="C43" s="809"/>
      <c r="D43" s="809"/>
      <c r="E43" s="625"/>
      <c r="F43" s="626"/>
      <c r="G43" s="809"/>
      <c r="H43" s="809"/>
      <c r="I43" s="809"/>
      <c r="J43" s="809"/>
    </row>
    <row r="44" spans="1:12" ht="22.9" customHeight="1" x14ac:dyDescent="0.3">
      <c r="A44" s="824" t="s">
        <v>38</v>
      </c>
      <c r="B44" s="824"/>
      <c r="C44" s="823"/>
      <c r="D44" s="823"/>
      <c r="E44" s="625"/>
      <c r="F44" s="628"/>
      <c r="G44" s="793"/>
      <c r="H44" s="793"/>
      <c r="I44" s="793"/>
      <c r="J44" s="793"/>
    </row>
    <row r="45" spans="1:12" ht="19.899999999999999" customHeight="1" x14ac:dyDescent="0.3">
      <c r="A45" s="824" t="s">
        <v>39</v>
      </c>
      <c r="B45" s="824"/>
      <c r="C45" s="823"/>
      <c r="D45" s="823"/>
      <c r="E45" s="625"/>
      <c r="F45" s="628"/>
      <c r="G45" s="793"/>
      <c r="H45" s="793"/>
      <c r="I45" s="793"/>
      <c r="J45" s="793"/>
    </row>
    <row r="46" spans="1:12" ht="28.15" customHeight="1" x14ac:dyDescent="0.3">
      <c r="A46" s="765" t="s">
        <v>40</v>
      </c>
      <c r="B46" s="765"/>
      <c r="C46" s="823"/>
      <c r="D46" s="823"/>
      <c r="E46" s="625"/>
      <c r="F46" s="628"/>
      <c r="G46" s="793"/>
      <c r="H46" s="793"/>
      <c r="I46" s="793"/>
      <c r="J46" s="793"/>
    </row>
    <row r="47" spans="1:12" ht="28.15" customHeight="1" x14ac:dyDescent="0.3">
      <c r="A47" s="765" t="s">
        <v>41</v>
      </c>
      <c r="B47" s="765"/>
      <c r="C47" s="793"/>
      <c r="D47" s="793"/>
      <c r="E47" s="625"/>
      <c r="F47" s="628"/>
      <c r="G47" s="793"/>
      <c r="H47" s="793"/>
      <c r="I47" s="793"/>
      <c r="J47" s="793"/>
    </row>
    <row r="48" spans="1:12" ht="28.15" customHeight="1" x14ac:dyDescent="0.3">
      <c r="A48" s="765" t="s">
        <v>42</v>
      </c>
      <c r="B48" s="765"/>
      <c r="C48" s="793"/>
      <c r="D48" s="793"/>
      <c r="E48" s="629"/>
      <c r="F48" s="628"/>
      <c r="G48" s="793"/>
      <c r="H48" s="793"/>
      <c r="I48" s="793"/>
      <c r="J48" s="793"/>
      <c r="K48" s="822"/>
      <c r="L48" s="822"/>
    </row>
    <row r="49" spans="1:14" ht="28.15" customHeight="1" x14ac:dyDescent="0.3">
      <c r="A49" s="765" t="s">
        <v>43</v>
      </c>
      <c r="B49" s="765"/>
      <c r="C49" s="820"/>
      <c r="D49" s="820"/>
      <c r="E49" s="630"/>
      <c r="F49" s="628"/>
      <c r="G49" s="793"/>
      <c r="H49" s="793"/>
      <c r="I49" s="793"/>
      <c r="J49" s="793"/>
      <c r="K49" s="223"/>
      <c r="L49" s="224"/>
      <c r="M49" s="225"/>
      <c r="N49" s="224"/>
    </row>
    <row r="50" spans="1:14" ht="28.15" customHeight="1" x14ac:dyDescent="0.3">
      <c r="A50" s="734" t="s">
        <v>72</v>
      </c>
      <c r="B50" s="821"/>
      <c r="C50" s="820"/>
      <c r="D50" s="820"/>
      <c r="E50" s="630"/>
      <c r="F50" s="628"/>
      <c r="G50" s="793"/>
      <c r="H50" s="793"/>
      <c r="I50" s="793"/>
      <c r="J50" s="793"/>
      <c r="K50" s="223"/>
      <c r="L50" s="224"/>
      <c r="M50" s="225"/>
      <c r="N50" s="224"/>
    </row>
    <row r="51" spans="1:14" ht="28.15" customHeight="1" x14ac:dyDescent="0.3">
      <c r="A51" s="734" t="s">
        <v>73</v>
      </c>
      <c r="B51" s="821"/>
      <c r="C51" s="820"/>
      <c r="D51" s="820"/>
      <c r="E51" s="630"/>
      <c r="F51" s="628"/>
      <c r="G51" s="793"/>
      <c r="H51" s="793"/>
      <c r="I51" s="793"/>
      <c r="J51" s="793"/>
      <c r="K51" s="223"/>
      <c r="L51" s="224"/>
      <c r="M51" s="225"/>
      <c r="N51" s="224"/>
    </row>
    <row r="52" spans="1:14" ht="28.15" customHeight="1" x14ac:dyDescent="0.3">
      <c r="A52" s="734" t="s">
        <v>74</v>
      </c>
      <c r="B52" s="821"/>
      <c r="C52" s="820"/>
      <c r="D52" s="820"/>
      <c r="E52" s="630"/>
      <c r="F52" s="628"/>
      <c r="G52" s="793"/>
      <c r="H52" s="793"/>
      <c r="I52" s="793"/>
      <c r="J52" s="793"/>
      <c r="K52" s="223"/>
      <c r="L52" s="224"/>
      <c r="M52" s="225"/>
      <c r="N52" s="224"/>
    </row>
    <row r="53" spans="1:14" ht="28.15" customHeight="1" x14ac:dyDescent="0.3">
      <c r="A53" s="734" t="s">
        <v>75</v>
      </c>
      <c r="B53" s="821"/>
      <c r="C53" s="820"/>
      <c r="D53" s="820"/>
      <c r="E53" s="630"/>
      <c r="F53" s="628"/>
      <c r="G53" s="793"/>
      <c r="H53" s="793"/>
      <c r="I53" s="793"/>
      <c r="J53" s="793"/>
      <c r="K53" s="223"/>
      <c r="L53" s="224"/>
      <c r="M53" s="225"/>
      <c r="N53" s="224"/>
    </row>
    <row r="54" spans="1:14" ht="22.9" customHeight="1" x14ac:dyDescent="0.3">
      <c r="A54" s="814" t="s">
        <v>44</v>
      </c>
      <c r="B54" s="814"/>
      <c r="C54" s="820"/>
      <c r="D54" s="820"/>
      <c r="E54" s="630"/>
      <c r="F54" s="628"/>
      <c r="G54" s="793"/>
      <c r="H54" s="793"/>
      <c r="I54" s="793"/>
      <c r="J54" s="793"/>
      <c r="K54" s="226"/>
      <c r="M54" s="227"/>
      <c r="N54" s="218"/>
    </row>
    <row r="55" spans="1:14" ht="22.9" customHeight="1" x14ac:dyDescent="0.3">
      <c r="A55" s="765" t="s">
        <v>240</v>
      </c>
      <c r="B55" s="765"/>
      <c r="C55" s="793"/>
      <c r="D55" s="793"/>
      <c r="E55" s="631"/>
      <c r="F55" s="628"/>
      <c r="G55" s="793"/>
      <c r="H55" s="793"/>
      <c r="I55" s="793"/>
      <c r="J55" s="793"/>
      <c r="K55" s="226"/>
      <c r="M55" s="227"/>
      <c r="N55" s="218"/>
    </row>
    <row r="56" spans="1:14" ht="22.9" customHeight="1" x14ac:dyDescent="0.3">
      <c r="A56" s="765" t="s">
        <v>241</v>
      </c>
      <c r="B56" s="765"/>
      <c r="C56" s="793"/>
      <c r="D56" s="793"/>
      <c r="E56" s="631"/>
      <c r="F56" s="628"/>
      <c r="G56" s="793"/>
      <c r="H56" s="793"/>
      <c r="I56" s="793"/>
      <c r="J56" s="793"/>
      <c r="K56" s="226"/>
      <c r="M56" s="227"/>
      <c r="N56" s="218"/>
    </row>
    <row r="57" spans="1:14" ht="22.9" customHeight="1" x14ac:dyDescent="0.3">
      <c r="A57" s="814" t="s">
        <v>45</v>
      </c>
      <c r="B57" s="814"/>
      <c r="C57" s="793"/>
      <c r="D57" s="793"/>
      <c r="E57" s="630"/>
      <c r="F57" s="628"/>
      <c r="G57" s="793"/>
      <c r="H57" s="793"/>
      <c r="I57" s="793"/>
      <c r="J57" s="793"/>
      <c r="K57" s="226"/>
      <c r="L57" s="229"/>
    </row>
    <row r="58" spans="1:14" ht="22.9" customHeight="1" x14ac:dyDescent="0.3">
      <c r="A58" s="765" t="s">
        <v>824</v>
      </c>
      <c r="B58" s="765"/>
      <c r="C58" s="793"/>
      <c r="D58" s="793"/>
      <c r="E58" s="630"/>
      <c r="F58" s="628"/>
      <c r="G58" s="793"/>
      <c r="H58" s="793"/>
      <c r="I58" s="793"/>
      <c r="J58" s="793"/>
      <c r="K58" s="226"/>
      <c r="L58" s="229"/>
    </row>
    <row r="59" spans="1:14" ht="22.9" customHeight="1" x14ac:dyDescent="0.3">
      <c r="A59" s="765" t="s">
        <v>267</v>
      </c>
      <c r="B59" s="765"/>
      <c r="C59" s="793"/>
      <c r="D59" s="793"/>
      <c r="E59" s="632"/>
      <c r="F59" s="628"/>
      <c r="G59" s="793"/>
      <c r="H59" s="793"/>
      <c r="I59" s="818"/>
      <c r="J59" s="819"/>
      <c r="K59" s="226"/>
      <c r="L59" s="229"/>
    </row>
    <row r="60" spans="1:14" ht="22.9" customHeight="1" x14ac:dyDescent="0.3">
      <c r="A60" s="814" t="s">
        <v>782</v>
      </c>
      <c r="B60" s="814"/>
      <c r="C60" s="793"/>
      <c r="D60" s="793"/>
      <c r="E60" s="624"/>
      <c r="F60" s="628"/>
      <c r="G60" s="793"/>
      <c r="H60" s="793"/>
      <c r="I60" s="793"/>
      <c r="J60" s="793"/>
      <c r="K60" s="226"/>
      <c r="L60" s="220"/>
    </row>
    <row r="61" spans="1:14" ht="22.9" customHeight="1" x14ac:dyDescent="0.3">
      <c r="A61" s="816" t="s">
        <v>47</v>
      </c>
      <c r="B61" s="817"/>
      <c r="C61" s="793"/>
      <c r="D61" s="793"/>
      <c r="E61" s="633"/>
      <c r="F61" s="634"/>
      <c r="G61" s="800"/>
      <c r="H61" s="801"/>
      <c r="I61" s="793"/>
      <c r="J61" s="793"/>
    </row>
    <row r="62" spans="1:14" ht="22.9" customHeight="1" x14ac:dyDescent="0.3">
      <c r="A62" s="804" t="s">
        <v>48</v>
      </c>
      <c r="B62" s="804"/>
      <c r="C62" s="793"/>
      <c r="D62" s="793"/>
      <c r="E62" s="624"/>
      <c r="F62" s="637"/>
      <c r="G62" s="800"/>
      <c r="H62" s="801"/>
      <c r="I62" s="793"/>
      <c r="J62" s="793"/>
    </row>
    <row r="63" spans="1:14" ht="22.9" customHeight="1" x14ac:dyDescent="0.3">
      <c r="A63" s="804" t="s">
        <v>49</v>
      </c>
      <c r="B63" s="804"/>
      <c r="C63" s="793"/>
      <c r="D63" s="793"/>
      <c r="E63" s="624"/>
      <c r="F63" s="637"/>
      <c r="G63" s="800"/>
      <c r="H63" s="801"/>
      <c r="I63" s="793"/>
      <c r="J63" s="793"/>
    </row>
    <row r="64" spans="1:14" ht="22.9" customHeight="1" x14ac:dyDescent="0.3">
      <c r="A64" s="804" t="s">
        <v>50</v>
      </c>
      <c r="B64" s="804"/>
      <c r="C64" s="793"/>
      <c r="D64" s="793"/>
      <c r="E64" s="624"/>
      <c r="F64" s="637"/>
      <c r="G64" s="800"/>
      <c r="H64" s="801"/>
      <c r="I64" s="800"/>
      <c r="J64" s="801"/>
    </row>
    <row r="65" spans="1:10" ht="22.9" customHeight="1" x14ac:dyDescent="0.3">
      <c r="A65" s="804" t="s">
        <v>51</v>
      </c>
      <c r="B65" s="804"/>
      <c r="C65" s="793"/>
      <c r="D65" s="793"/>
      <c r="E65" s="624"/>
      <c r="F65" s="637"/>
      <c r="G65" s="793"/>
      <c r="H65" s="793"/>
      <c r="I65" s="793"/>
      <c r="J65" s="793"/>
    </row>
    <row r="66" spans="1:10" ht="22.9" customHeight="1" x14ac:dyDescent="0.3">
      <c r="A66" s="804" t="s">
        <v>52</v>
      </c>
      <c r="B66" s="804"/>
      <c r="C66" s="793"/>
      <c r="D66" s="793"/>
      <c r="E66" s="624"/>
      <c r="F66" s="637"/>
      <c r="G66" s="793"/>
      <c r="H66" s="793"/>
      <c r="I66" s="793"/>
      <c r="J66" s="793"/>
    </row>
    <row r="67" spans="1:10" ht="22.9" customHeight="1" x14ac:dyDescent="0.3">
      <c r="A67" s="814" t="s">
        <v>270</v>
      </c>
      <c r="B67" s="815"/>
      <c r="C67" s="800"/>
      <c r="D67" s="801"/>
      <c r="E67" s="638"/>
      <c r="F67" s="637"/>
      <c r="G67" s="793"/>
      <c r="H67" s="793"/>
      <c r="I67" s="793"/>
      <c r="J67" s="793"/>
    </row>
    <row r="68" spans="1:10" ht="27.6" customHeight="1" x14ac:dyDescent="0.3">
      <c r="A68" s="804" t="s">
        <v>53</v>
      </c>
      <c r="B68" s="804"/>
      <c r="C68" s="800"/>
      <c r="D68" s="801"/>
      <c r="E68" s="639"/>
      <c r="F68" s="637"/>
      <c r="G68" s="812"/>
      <c r="H68" s="812"/>
      <c r="I68" s="793"/>
      <c r="J68" s="793"/>
    </row>
    <row r="69" spans="1:10" ht="22.9" customHeight="1" x14ac:dyDescent="0.3">
      <c r="A69" s="804" t="s">
        <v>54</v>
      </c>
      <c r="B69" s="804"/>
      <c r="C69" s="800"/>
      <c r="D69" s="801"/>
      <c r="E69" s="635"/>
      <c r="F69" s="637"/>
      <c r="G69" s="813"/>
      <c r="H69" s="813"/>
      <c r="I69" s="793"/>
      <c r="J69" s="793"/>
    </row>
    <row r="70" spans="1:10" ht="22.9" customHeight="1" x14ac:dyDescent="0.3">
      <c r="A70" s="810" t="s">
        <v>242</v>
      </c>
      <c r="B70" s="811"/>
      <c r="C70" s="800"/>
      <c r="D70" s="801"/>
      <c r="E70" s="635"/>
      <c r="F70" s="637"/>
      <c r="G70" s="793"/>
      <c r="H70" s="793"/>
      <c r="I70" s="793"/>
      <c r="J70" s="793"/>
    </row>
    <row r="71" spans="1:10" ht="22.9" customHeight="1" x14ac:dyDescent="0.3">
      <c r="A71" s="804" t="s">
        <v>243</v>
      </c>
      <c r="B71" s="804"/>
      <c r="C71" s="800"/>
      <c r="D71" s="801"/>
      <c r="E71" s="625"/>
      <c r="F71" s="637"/>
      <c r="G71" s="793"/>
      <c r="H71" s="793"/>
      <c r="I71" s="793"/>
      <c r="J71" s="793"/>
    </row>
    <row r="72" spans="1:10" ht="22.9" customHeight="1" x14ac:dyDescent="0.3">
      <c r="A72" s="804" t="s">
        <v>244</v>
      </c>
      <c r="B72" s="804"/>
      <c r="C72" s="800"/>
      <c r="D72" s="801"/>
      <c r="E72" s="625"/>
      <c r="F72" s="637"/>
      <c r="G72" s="793"/>
      <c r="H72" s="793"/>
      <c r="I72" s="793"/>
      <c r="J72" s="793"/>
    </row>
    <row r="73" spans="1:10" ht="22.9" customHeight="1" x14ac:dyDescent="0.3">
      <c r="A73" s="804" t="s">
        <v>198</v>
      </c>
      <c r="B73" s="804"/>
      <c r="C73" s="809"/>
      <c r="D73" s="809"/>
      <c r="E73" s="625"/>
      <c r="F73" s="626"/>
      <c r="G73" s="809"/>
      <c r="H73" s="809"/>
      <c r="I73" s="809"/>
      <c r="J73" s="809"/>
    </row>
    <row r="74" spans="1:10" ht="22.9" customHeight="1" x14ac:dyDescent="0.3">
      <c r="A74" s="804" t="s">
        <v>825</v>
      </c>
      <c r="B74" s="804"/>
      <c r="C74" s="640"/>
      <c r="D74" s="641"/>
      <c r="E74" s="625"/>
      <c r="F74" s="642"/>
      <c r="G74" s="805"/>
      <c r="H74" s="806"/>
      <c r="I74" s="805"/>
      <c r="J74" s="806"/>
    </row>
    <row r="75" spans="1:10" ht="30.6" customHeight="1" x14ac:dyDescent="0.3">
      <c r="A75" s="807" t="s">
        <v>216</v>
      </c>
      <c r="B75" s="808"/>
      <c r="C75" s="800"/>
      <c r="D75" s="801"/>
      <c r="E75" s="643"/>
      <c r="F75" s="637"/>
      <c r="G75" s="793"/>
      <c r="H75" s="793"/>
      <c r="I75" s="793"/>
      <c r="J75" s="793"/>
    </row>
    <row r="76" spans="1:10" ht="30.6" customHeight="1" x14ac:dyDescent="0.3">
      <c r="A76" s="804" t="s">
        <v>245</v>
      </c>
      <c r="B76" s="804"/>
      <c r="C76" s="800"/>
      <c r="D76" s="801"/>
      <c r="E76" s="643"/>
      <c r="F76" s="643"/>
      <c r="G76" s="793"/>
      <c r="H76" s="793"/>
      <c r="I76" s="793"/>
      <c r="J76" s="793"/>
    </row>
    <row r="77" spans="1:10" ht="30" customHeight="1" x14ac:dyDescent="0.3">
      <c r="A77" s="804" t="s">
        <v>246</v>
      </c>
      <c r="B77" s="804"/>
      <c r="C77" s="800"/>
      <c r="D77" s="801"/>
      <c r="E77" s="643"/>
      <c r="F77" s="643"/>
      <c r="G77" s="793"/>
      <c r="H77" s="793"/>
      <c r="I77" s="793"/>
      <c r="J77" s="793"/>
    </row>
    <row r="78" spans="1:10" ht="25.9" customHeight="1" x14ac:dyDescent="0.3">
      <c r="A78" s="792" t="s">
        <v>64</v>
      </c>
      <c r="B78" s="792"/>
      <c r="C78" s="792"/>
      <c r="D78" s="792"/>
      <c r="E78" s="792"/>
      <c r="F78" s="792"/>
      <c r="G78" s="792"/>
      <c r="H78" s="792"/>
      <c r="I78" s="800"/>
      <c r="J78" s="801"/>
    </row>
    <row r="79" spans="1:10" ht="25.9" customHeight="1" x14ac:dyDescent="0.3">
      <c r="A79" s="792" t="s">
        <v>217</v>
      </c>
      <c r="B79" s="792"/>
      <c r="C79" s="792"/>
      <c r="D79" s="792"/>
      <c r="E79" s="792"/>
      <c r="F79" s="792"/>
      <c r="G79" s="792"/>
      <c r="H79" s="792"/>
      <c r="I79" s="635"/>
      <c r="J79" s="636"/>
    </row>
    <row r="80" spans="1:10" ht="25.9" customHeight="1" x14ac:dyDescent="0.3">
      <c r="A80" s="792" t="s">
        <v>218</v>
      </c>
      <c r="B80" s="792"/>
      <c r="C80" s="792"/>
      <c r="D80" s="792"/>
      <c r="E80" s="792"/>
      <c r="F80" s="792"/>
      <c r="G80" s="792"/>
      <c r="H80" s="792"/>
      <c r="I80" s="800"/>
      <c r="J80" s="801"/>
    </row>
    <row r="81" spans="1:10" ht="25.9" customHeight="1" x14ac:dyDescent="0.3">
      <c r="A81" s="792" t="s">
        <v>286</v>
      </c>
      <c r="B81" s="792"/>
      <c r="C81" s="792"/>
      <c r="D81" s="792"/>
      <c r="E81" s="792"/>
      <c r="F81" s="792"/>
      <c r="G81" s="792"/>
      <c r="H81" s="792"/>
      <c r="I81" s="635"/>
      <c r="J81" s="636"/>
    </row>
    <row r="82" spans="1:10" ht="42" customHeight="1" x14ac:dyDescent="0.3">
      <c r="A82" s="795" t="s">
        <v>219</v>
      </c>
      <c r="B82" s="796"/>
      <c r="C82" s="799" t="s">
        <v>59</v>
      </c>
      <c r="D82" s="799"/>
      <c r="E82" s="799" t="s">
        <v>66</v>
      </c>
      <c r="F82" s="799"/>
      <c r="G82" s="799" t="s">
        <v>60</v>
      </c>
      <c r="H82" s="799"/>
      <c r="I82" s="800"/>
      <c r="J82" s="801"/>
    </row>
    <row r="83" spans="1:10" ht="42" customHeight="1" x14ac:dyDescent="0.3">
      <c r="A83" s="797"/>
      <c r="B83" s="798"/>
      <c r="C83" s="799"/>
      <c r="D83" s="799"/>
      <c r="E83" s="799"/>
      <c r="F83" s="799"/>
      <c r="G83" s="802"/>
      <c r="H83" s="803"/>
      <c r="I83" s="800"/>
      <c r="J83" s="801"/>
    </row>
    <row r="84" spans="1:10" ht="27" customHeight="1" x14ac:dyDescent="0.3">
      <c r="A84" s="792" t="s">
        <v>269</v>
      </c>
      <c r="B84" s="792"/>
      <c r="C84" s="792"/>
      <c r="D84" s="792"/>
      <c r="E84" s="792"/>
      <c r="F84" s="792"/>
      <c r="G84" s="792"/>
      <c r="H84" s="792"/>
      <c r="I84" s="635"/>
      <c r="J84" s="636"/>
    </row>
    <row r="85" spans="1:10" ht="27" customHeight="1" x14ac:dyDescent="0.3">
      <c r="A85" s="792" t="s">
        <v>271</v>
      </c>
      <c r="B85" s="792"/>
      <c r="C85" s="792"/>
      <c r="D85" s="792"/>
      <c r="E85" s="792"/>
      <c r="F85" s="792"/>
      <c r="G85" s="792"/>
      <c r="H85" s="792"/>
      <c r="I85" s="793"/>
      <c r="J85" s="793"/>
    </row>
    <row r="86" spans="1:10" ht="27" customHeight="1" x14ac:dyDescent="0.3">
      <c r="A86" s="792" t="s">
        <v>57</v>
      </c>
      <c r="B86" s="792"/>
      <c r="C86" s="792"/>
      <c r="D86" s="792"/>
      <c r="E86" s="792"/>
      <c r="F86" s="792"/>
      <c r="G86" s="792"/>
      <c r="H86" s="792"/>
      <c r="I86" s="793"/>
      <c r="J86" s="793"/>
    </row>
    <row r="87" spans="1:10" customFormat="1" ht="25.9" customHeight="1" x14ac:dyDescent="0.25">
      <c r="A87" s="596"/>
      <c r="B87" s="347" t="s">
        <v>63</v>
      </c>
      <c r="C87" s="347" t="s">
        <v>272</v>
      </c>
      <c r="D87" s="794" t="s">
        <v>274</v>
      </c>
      <c r="E87" s="794"/>
      <c r="F87" s="794" t="s">
        <v>275</v>
      </c>
      <c r="G87" s="794"/>
      <c r="H87" s="363"/>
      <c r="I87" s="363"/>
      <c r="J87" s="175"/>
    </row>
    <row r="88" spans="1:10" customFormat="1" ht="25.9" customHeight="1" x14ac:dyDescent="0.25">
      <c r="A88" s="351" t="s">
        <v>273</v>
      </c>
      <c r="B88" s="65">
        <f>H83</f>
        <v>0</v>
      </c>
      <c r="C88" s="65"/>
      <c r="D88" s="69" t="s">
        <v>98</v>
      </c>
      <c r="E88" s="65"/>
      <c r="F88" s="69" t="s">
        <v>282</v>
      </c>
      <c r="G88" s="65"/>
      <c r="H88" s="362"/>
      <c r="I88" s="363"/>
      <c r="J88" s="175"/>
    </row>
    <row r="89" spans="1:10" customFormat="1" ht="25.9" customHeight="1" x14ac:dyDescent="0.25">
      <c r="A89" s="352" t="s">
        <v>277</v>
      </c>
      <c r="B89" s="354">
        <f>C68</f>
        <v>0</v>
      </c>
      <c r="C89" s="354"/>
      <c r="D89" s="69" t="s">
        <v>91</v>
      </c>
      <c r="E89" s="65"/>
      <c r="F89" s="69" t="s">
        <v>231</v>
      </c>
      <c r="G89" s="65"/>
      <c r="H89" s="363"/>
      <c r="I89" s="363"/>
      <c r="J89" s="175"/>
    </row>
    <row r="90" spans="1:10" customFormat="1" ht="25.9" customHeight="1" x14ac:dyDescent="0.25">
      <c r="A90" s="353" t="s">
        <v>176</v>
      </c>
      <c r="B90" s="354">
        <f>J32</f>
        <v>3102.57</v>
      </c>
      <c r="C90" s="354"/>
      <c r="D90" s="69" t="s">
        <v>230</v>
      </c>
      <c r="E90" s="65"/>
      <c r="F90" s="69" t="s">
        <v>230</v>
      </c>
      <c r="G90" s="65"/>
      <c r="H90" s="363"/>
      <c r="I90" s="363"/>
      <c r="J90" s="175"/>
    </row>
    <row r="91" spans="1:10" customFormat="1" ht="25.9" customHeight="1" x14ac:dyDescent="0.25">
      <c r="A91" s="353" t="s">
        <v>61</v>
      </c>
      <c r="B91" s="354">
        <f>+J79</f>
        <v>0</v>
      </c>
      <c r="C91" s="354"/>
      <c r="D91" s="349"/>
      <c r="E91" s="349"/>
      <c r="F91" s="349"/>
      <c r="G91" s="349"/>
      <c r="H91" s="363"/>
      <c r="I91" s="363"/>
      <c r="J91" s="175"/>
    </row>
    <row r="92" spans="1:10" customFormat="1" ht="15" customHeight="1" x14ac:dyDescent="0.25">
      <c r="A92" s="788" t="s">
        <v>58</v>
      </c>
      <c r="B92" s="788"/>
      <c r="C92" s="788"/>
      <c r="D92" s="788"/>
      <c r="E92" s="788"/>
      <c r="F92" s="23"/>
      <c r="G92" s="23"/>
      <c r="H92" s="23"/>
      <c r="I92" s="23"/>
      <c r="J92" s="23"/>
    </row>
    <row r="93" spans="1:10" s="23" customFormat="1" ht="12" customHeight="1" x14ac:dyDescent="0.25">
      <c r="A93" s="43" t="s">
        <v>62</v>
      </c>
    </row>
    <row r="94" spans="1:10" s="23" customFormat="1" ht="12" customHeight="1" x14ac:dyDescent="0.25">
      <c r="A94" s="23" t="s">
        <v>287</v>
      </c>
    </row>
    <row r="95" spans="1:10" s="23" customFormat="1" ht="12" hidden="1" customHeight="1" x14ac:dyDescent="0.25">
      <c r="A95" s="43"/>
    </row>
    <row r="96" spans="1:10" s="23" customFormat="1" ht="12" hidden="1" customHeight="1" x14ac:dyDescent="0.3">
      <c r="A96" s="236" t="s">
        <v>87</v>
      </c>
      <c r="B96" s="237"/>
      <c r="C96" s="238">
        <v>7.4999999999999997E-3</v>
      </c>
      <c r="D96" s="230">
        <f>ROUND(J32*C96,2)</f>
        <v>23.27</v>
      </c>
      <c r="E96" s="217"/>
      <c r="F96" s="239"/>
      <c r="G96" s="216"/>
      <c r="H96" s="24"/>
      <c r="I96" s="24"/>
    </row>
    <row r="97" spans="1:6" ht="30.75" hidden="1" customHeight="1" x14ac:dyDescent="0.3">
      <c r="A97" s="236" t="s">
        <v>88</v>
      </c>
      <c r="B97" s="237"/>
      <c r="C97" s="240">
        <f>(2.4-0.95)%</f>
        <v>1.4499999999999999E-2</v>
      </c>
      <c r="D97" s="230">
        <f>ROUND(C58*C97,2)</f>
        <v>0</v>
      </c>
      <c r="F97" s="235"/>
    </row>
    <row r="98" spans="1:6" ht="30.75" hidden="1" customHeight="1" x14ac:dyDescent="0.3">
      <c r="A98" s="241" t="s">
        <v>235</v>
      </c>
      <c r="B98" s="237"/>
      <c r="D98" s="217">
        <f>D96+D97</f>
        <v>23.27</v>
      </c>
      <c r="F98" s="235"/>
    </row>
    <row r="99" spans="1:6" ht="30.75" hidden="1" customHeight="1" x14ac:dyDescent="0.3">
      <c r="A99" s="236" t="s">
        <v>236</v>
      </c>
      <c r="C99" s="217"/>
      <c r="F99" s="242"/>
    </row>
    <row r="100" spans="1:6" ht="30.75" hidden="1" customHeight="1" x14ac:dyDescent="0.3">
      <c r="A100" s="236"/>
      <c r="C100" s="217"/>
      <c r="F100" s="242"/>
    </row>
    <row r="101" spans="1:6" ht="30.75" hidden="1" customHeight="1" x14ac:dyDescent="0.3">
      <c r="A101" s="236" t="s">
        <v>89</v>
      </c>
      <c r="B101" s="243"/>
      <c r="C101" s="230">
        <v>1.7000000000000001E-2</v>
      </c>
      <c r="D101" s="230">
        <f>ROUND(C62*C101,2)</f>
        <v>0</v>
      </c>
      <c r="F101" s="242"/>
    </row>
    <row r="102" spans="1:6" ht="30.75" hidden="1" customHeight="1" x14ac:dyDescent="0.3">
      <c r="A102" s="244"/>
      <c r="B102" s="245"/>
      <c r="C102" s="246"/>
      <c r="D102" s="246"/>
      <c r="E102" s="246"/>
      <c r="F102" s="247"/>
    </row>
    <row r="103" spans="1:6" ht="30.75" hidden="1" customHeight="1" x14ac:dyDescent="0.3">
      <c r="A103" s="248" t="s">
        <v>237</v>
      </c>
      <c r="B103" s="249"/>
      <c r="C103" s="250"/>
      <c r="D103" s="250"/>
      <c r="E103" s="250"/>
      <c r="F103" s="251"/>
    </row>
    <row r="104" spans="1:6" ht="30.75" hidden="1" customHeight="1" x14ac:dyDescent="0.3">
      <c r="A104" s="233"/>
      <c r="B104" s="234"/>
      <c r="C104" s="252"/>
      <c r="F104" s="253"/>
    </row>
    <row r="105" spans="1:6" ht="30.75" hidden="1" customHeight="1" x14ac:dyDescent="0.3">
      <c r="A105" s="236" t="s">
        <v>87</v>
      </c>
      <c r="B105" s="237"/>
      <c r="C105" s="238">
        <v>7.4999999999999997E-3</v>
      </c>
      <c r="D105" s="230">
        <f>ROUND(J32*C105,2)</f>
        <v>23.27</v>
      </c>
      <c r="E105" s="216"/>
      <c r="F105" s="235"/>
    </row>
    <row r="106" spans="1:6" ht="30.75" hidden="1" customHeight="1" x14ac:dyDescent="0.3">
      <c r="A106" s="236" t="s">
        <v>88</v>
      </c>
      <c r="B106" s="237"/>
      <c r="C106" s="240">
        <f>(2.4)%</f>
        <v>2.4E-2</v>
      </c>
      <c r="D106" s="230">
        <f>ROUND(C58*C106,2)</f>
        <v>0</v>
      </c>
      <c r="E106" s="254"/>
      <c r="F106" s="235"/>
    </row>
    <row r="107" spans="1:6" ht="30.75" hidden="1" customHeight="1" x14ac:dyDescent="0.3">
      <c r="A107" s="241" t="s">
        <v>238</v>
      </c>
      <c r="B107" s="237"/>
      <c r="E107" s="254"/>
      <c r="F107" s="235"/>
    </row>
    <row r="108" spans="1:6" ht="30.75" hidden="1" customHeight="1" x14ac:dyDescent="0.3">
      <c r="A108" s="236" t="s">
        <v>236</v>
      </c>
      <c r="C108" s="217"/>
      <c r="E108" s="255">
        <f>D106+D105-D110</f>
        <v>23.27</v>
      </c>
      <c r="F108" s="235"/>
    </row>
    <row r="109" spans="1:6" ht="30.75" hidden="1" customHeight="1" x14ac:dyDescent="0.3">
      <c r="A109" s="236"/>
      <c r="C109" s="217"/>
      <c r="E109" s="254"/>
      <c r="F109" s="235"/>
    </row>
    <row r="110" spans="1:6" ht="30.75" hidden="1" customHeight="1" x14ac:dyDescent="0.3">
      <c r="A110" s="236" t="s">
        <v>89</v>
      </c>
      <c r="B110" s="243"/>
      <c r="C110" s="230">
        <v>1.7000000000000001E-2</v>
      </c>
      <c r="D110" s="230">
        <f>ROUND(C62*C110,2)</f>
        <v>0</v>
      </c>
      <c r="F110" s="235"/>
    </row>
    <row r="111" spans="1:6" ht="30.75" hidden="1" customHeight="1" x14ac:dyDescent="0.3">
      <c r="A111" s="256"/>
      <c r="B111" s="257"/>
      <c r="C111" s="258"/>
      <c r="D111" s="258"/>
      <c r="E111" s="258"/>
      <c r="F111" s="259"/>
    </row>
    <row r="112" spans="1:6" ht="30.75" hidden="1" customHeight="1" x14ac:dyDescent="0.3">
      <c r="B112" s="237"/>
    </row>
    <row r="113" spans="1:18" ht="30.75" customHeight="1" x14ac:dyDescent="0.3">
      <c r="A113" s="789" t="s">
        <v>81</v>
      </c>
      <c r="B113" s="789"/>
      <c r="C113" s="789"/>
      <c r="D113" s="789"/>
      <c r="E113" s="789"/>
    </row>
    <row r="114" spans="1:18" ht="18" customHeight="1" x14ac:dyDescent="0.3">
      <c r="A114" s="61"/>
      <c r="B114" s="644"/>
      <c r="C114" s="644"/>
      <c r="D114" s="644"/>
      <c r="E114" s="644"/>
      <c r="F114" s="181"/>
      <c r="G114" s="25"/>
      <c r="H114" s="25"/>
      <c r="I114" s="25"/>
    </row>
    <row r="115" spans="1:18" customFormat="1" ht="36" customHeight="1" x14ac:dyDescent="0.25">
      <c r="A115" s="790" t="s">
        <v>67</v>
      </c>
      <c r="B115" s="791"/>
      <c r="C115" s="38" t="s">
        <v>32</v>
      </c>
      <c r="D115" s="38" t="s">
        <v>276</v>
      </c>
      <c r="E115" s="38" t="s">
        <v>92</v>
      </c>
      <c r="H115" s="25"/>
      <c r="I115" s="25"/>
      <c r="J115" s="25"/>
      <c r="K115" s="27"/>
      <c r="L115" s="27"/>
      <c r="M115" s="27"/>
      <c r="N115" s="27"/>
      <c r="O115" s="27"/>
    </row>
    <row r="116" spans="1:18" customFormat="1" ht="39.6" customHeight="1" x14ac:dyDescent="0.25">
      <c r="A116" s="787" t="s">
        <v>84</v>
      </c>
      <c r="B116" s="787"/>
      <c r="C116" s="645">
        <f>IF(B5&lt;50,IF(J32&gt;C32,C32,J32),0)</f>
        <v>0</v>
      </c>
      <c r="D116" s="646">
        <f>'[3]TABLE DES TAUX 2025'!D22</f>
        <v>1.6199999999999999E-2</v>
      </c>
      <c r="E116" s="645">
        <f t="shared" ref="E116:E125" si="2">ROUND(C116*D116,2)</f>
        <v>0</v>
      </c>
      <c r="G116" s="529"/>
      <c r="H116" s="25"/>
      <c r="I116" s="25"/>
      <c r="J116" s="25"/>
      <c r="K116" s="25"/>
      <c r="L116" s="25"/>
      <c r="M116" s="27"/>
      <c r="N116" s="27"/>
      <c r="O116" s="27"/>
      <c r="P116" s="27"/>
      <c r="Q116" s="27"/>
      <c r="R116" s="27"/>
    </row>
    <row r="117" spans="1:18" customFormat="1" ht="39.6" customHeight="1" x14ac:dyDescent="0.3">
      <c r="A117" s="787" t="s">
        <v>85</v>
      </c>
      <c r="B117" s="787"/>
      <c r="C117" s="645">
        <f>IF(B5&gt;=50,J32,0)</f>
        <v>3102.57</v>
      </c>
      <c r="D117" s="646">
        <f>'[3]TABLE DES TAUX 2025'!D23</f>
        <v>2.0999999999999999E-3</v>
      </c>
      <c r="E117" s="645">
        <f t="shared" si="2"/>
        <v>6.52</v>
      </c>
      <c r="G117" s="530"/>
      <c r="H117" s="25"/>
      <c r="I117" s="25"/>
      <c r="J117" s="25"/>
      <c r="K117" s="25"/>
      <c r="L117" s="25"/>
      <c r="M117" s="27"/>
      <c r="N117" s="27"/>
      <c r="O117" s="27"/>
      <c r="P117" s="27"/>
      <c r="Q117" s="27"/>
      <c r="R117" s="27"/>
    </row>
    <row r="118" spans="1:18" customFormat="1" ht="39.6" customHeight="1" x14ac:dyDescent="0.25">
      <c r="A118" s="787" t="s">
        <v>266</v>
      </c>
      <c r="B118" s="787"/>
      <c r="C118" s="645">
        <f>IF(B5&gt;=11,J32,0)</f>
        <v>3102.57</v>
      </c>
      <c r="D118" s="646">
        <f>'[3]TABLE DES TAUX 2025'!D24</f>
        <v>2.0999999999999999E-3</v>
      </c>
      <c r="E118" s="645">
        <f t="shared" si="2"/>
        <v>6.52</v>
      </c>
      <c r="G118" s="529"/>
      <c r="H118" s="25"/>
      <c r="I118" s="25"/>
      <c r="J118" s="25"/>
      <c r="K118" s="25"/>
      <c r="L118" s="25"/>
      <c r="M118" s="27"/>
      <c r="N118" s="27"/>
      <c r="O118" s="27"/>
      <c r="P118" s="27"/>
      <c r="Q118" s="27"/>
      <c r="R118" s="27"/>
    </row>
    <row r="119" spans="1:18" customFormat="1" ht="39.6" customHeight="1" x14ac:dyDescent="0.25">
      <c r="A119" s="787" t="s">
        <v>70</v>
      </c>
      <c r="B119" s="787"/>
      <c r="C119" s="645">
        <f>J32</f>
        <v>3102.57</v>
      </c>
      <c r="D119" s="646">
        <f>'[3]TABLE DES TAUX 2025'!D25</f>
        <v>0</v>
      </c>
      <c r="E119" s="645">
        <f t="shared" si="2"/>
        <v>0</v>
      </c>
      <c r="H119" s="25"/>
      <c r="I119" s="25"/>
      <c r="J119" s="25"/>
      <c r="K119" s="25"/>
      <c r="L119" s="25"/>
      <c r="M119" s="27"/>
      <c r="N119" s="27"/>
      <c r="O119" s="27"/>
      <c r="P119" s="27"/>
      <c r="Q119" s="27"/>
      <c r="R119" s="27"/>
    </row>
    <row r="120" spans="1:18" customFormat="1" ht="39.6" customHeight="1" x14ac:dyDescent="0.25">
      <c r="A120" s="787" t="s">
        <v>82</v>
      </c>
      <c r="B120" s="787"/>
      <c r="C120" s="645">
        <f>IF(B8&gt;=11, IF(I5=2,I72+I41+I40,I39+I71),0)</f>
        <v>55.85</v>
      </c>
      <c r="D120" s="646">
        <f>'[3]TABLE DES TAUX 2025'!D26</f>
        <v>1E-3</v>
      </c>
      <c r="E120" s="645">
        <f t="shared" si="2"/>
        <v>0.06</v>
      </c>
      <c r="H120" s="27"/>
      <c r="I120" s="27"/>
      <c r="J120" s="25"/>
      <c r="K120" s="25"/>
      <c r="L120" s="25"/>
      <c r="M120" s="27"/>
      <c r="N120" s="27"/>
      <c r="O120" s="27"/>
      <c r="P120" s="27"/>
      <c r="Q120" s="27"/>
      <c r="R120" s="27"/>
    </row>
    <row r="121" spans="1:18" customFormat="1" ht="39.6" customHeight="1" x14ac:dyDescent="0.25">
      <c r="A121" s="787" t="s">
        <v>213</v>
      </c>
      <c r="B121" s="787"/>
      <c r="C121" s="645">
        <f>G73</f>
        <v>0</v>
      </c>
      <c r="D121" s="646">
        <f>'[3]TABLE DES TAUX 2025'!D27</f>
        <v>5.0000000000000001E-3</v>
      </c>
      <c r="E121" s="645">
        <f t="shared" si="2"/>
        <v>0</v>
      </c>
      <c r="H121" s="27"/>
      <c r="I121" s="27"/>
      <c r="J121" s="27"/>
      <c r="K121" s="27"/>
      <c r="L121" s="27"/>
      <c r="M121" s="27"/>
      <c r="N121" s="27"/>
      <c r="O121" s="27"/>
      <c r="P121" s="27"/>
      <c r="Q121" s="27"/>
      <c r="R121" s="27"/>
    </row>
    <row r="122" spans="1:18" customFormat="1" ht="39.6" customHeight="1" x14ac:dyDescent="0.25">
      <c r="A122" s="787" t="s">
        <v>71</v>
      </c>
      <c r="B122" s="787"/>
      <c r="C122" s="645">
        <f>+J32</f>
        <v>3102.57</v>
      </c>
      <c r="D122" s="646">
        <f>'[3]TABLE DES TAUX 2025'!D28</f>
        <v>3.2000000000000001E-2</v>
      </c>
      <c r="E122" s="645">
        <f t="shared" si="2"/>
        <v>99.28</v>
      </c>
      <c r="H122" s="27"/>
      <c r="I122" s="27"/>
      <c r="J122" s="27"/>
      <c r="K122" s="27"/>
      <c r="L122" s="27"/>
      <c r="M122" s="27"/>
      <c r="N122" s="27"/>
      <c r="O122" s="27"/>
      <c r="P122" s="27"/>
      <c r="Q122" s="27"/>
      <c r="R122" s="27"/>
    </row>
    <row r="123" spans="1:18" customFormat="1" ht="39.6" customHeight="1" x14ac:dyDescent="0.25">
      <c r="A123" s="787" t="s">
        <v>789</v>
      </c>
      <c r="B123" s="787"/>
      <c r="C123" s="645">
        <f>IF(B5&gt;=11,J32,0)</f>
        <v>3102.57</v>
      </c>
      <c r="D123" s="646">
        <f>'[3]TABLE DES TAUX 2025'!D29</f>
        <v>3.0000000000000001E-3</v>
      </c>
      <c r="E123" s="645">
        <f t="shared" si="2"/>
        <v>9.31</v>
      </c>
      <c r="H123" s="27"/>
      <c r="I123" s="27"/>
      <c r="J123" s="27"/>
      <c r="K123" s="27"/>
      <c r="L123" s="27"/>
      <c r="M123" s="27"/>
      <c r="N123" s="27"/>
      <c r="O123" s="27"/>
      <c r="P123" s="27"/>
      <c r="Q123" s="27"/>
      <c r="R123" s="27"/>
    </row>
    <row r="124" spans="1:18" customFormat="1" ht="39.6" customHeight="1" x14ac:dyDescent="0.25">
      <c r="A124" s="787" t="s">
        <v>790</v>
      </c>
      <c r="B124" s="787"/>
      <c r="C124" s="645">
        <f>IF(B5&lt;11,J32,0)</f>
        <v>0</v>
      </c>
      <c r="D124" s="646">
        <f>'[3]TABLE DES TAUX 2025'!D30</f>
        <v>0.08</v>
      </c>
      <c r="E124" s="645">
        <f t="shared" si="2"/>
        <v>0</v>
      </c>
      <c r="H124" s="27"/>
      <c r="I124" s="27"/>
      <c r="J124" s="27"/>
      <c r="K124" s="27"/>
      <c r="L124" s="27"/>
      <c r="M124" s="27"/>
      <c r="N124" s="27"/>
      <c r="O124" s="27"/>
      <c r="P124" s="27"/>
      <c r="Q124" s="27"/>
      <c r="R124" s="27"/>
    </row>
    <row r="125" spans="1:18" customFormat="1" ht="39.6" customHeight="1" x14ac:dyDescent="0.25">
      <c r="A125" s="787" t="s">
        <v>76</v>
      </c>
      <c r="B125" s="787"/>
      <c r="C125" s="645">
        <f>IF(B5&lt;50,0,J32)</f>
        <v>3102.57</v>
      </c>
      <c r="D125" s="646">
        <f>'TABLE DES TAUX 2026 '!C32</f>
        <v>0</v>
      </c>
      <c r="E125" s="645">
        <f t="shared" si="2"/>
        <v>0</v>
      </c>
      <c r="H125" s="27"/>
      <c r="I125" s="27"/>
      <c r="J125" s="27"/>
      <c r="K125" s="27"/>
      <c r="L125" s="27"/>
      <c r="M125" s="27"/>
      <c r="N125" s="27"/>
      <c r="O125" s="27"/>
      <c r="P125" s="27"/>
      <c r="Q125" s="27"/>
      <c r="R125" s="27"/>
    </row>
    <row r="126" spans="1:18" customFormat="1" ht="33.6" customHeight="1" x14ac:dyDescent="0.25">
      <c r="A126" s="27"/>
      <c r="B126" s="27"/>
      <c r="D126" s="27"/>
      <c r="E126" s="645">
        <f>SUM(E116:E125)</f>
        <v>121.69</v>
      </c>
      <c r="G126" s="27"/>
      <c r="H126" s="27"/>
      <c r="I126" s="27"/>
      <c r="J126" s="27"/>
      <c r="K126" s="27"/>
      <c r="L126" s="27"/>
      <c r="M126" s="27"/>
      <c r="N126" s="27"/>
      <c r="O126" s="27"/>
    </row>
    <row r="127" spans="1:18" customFormat="1" x14ac:dyDescent="0.3">
      <c r="A127" s="219"/>
      <c r="B127" s="219"/>
      <c r="C127" s="216"/>
      <c r="D127" s="217"/>
      <c r="E127" s="217"/>
      <c r="F127" s="216"/>
      <c r="G127" s="216"/>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DCD5D-9446-4F6E-9473-9F39A9972709}">
  <dimension ref="A1:AG144"/>
  <sheetViews>
    <sheetView topLeftCell="B82" workbookViewId="0">
      <selection activeCell="E89" sqref="E89"/>
    </sheetView>
  </sheetViews>
  <sheetFormatPr baseColWidth="10" defaultRowHeight="15" x14ac:dyDescent="0.25"/>
  <cols>
    <col min="1" max="1" width="12.28515625" customWidth="1"/>
    <col min="2" max="2" width="13.28515625" customWidth="1"/>
    <col min="3" max="3" width="14.5703125" customWidth="1"/>
    <col min="4" max="4" width="16.140625" style="52"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110</v>
      </c>
    </row>
    <row r="2" spans="1:16" s="64" customFormat="1" ht="26.25" hidden="1" customHeight="1" x14ac:dyDescent="0.2">
      <c r="A2" s="69" t="s">
        <v>80</v>
      </c>
      <c r="B2" s="69" t="s">
        <v>111</v>
      </c>
      <c r="C2" s="69" t="s">
        <v>112</v>
      </c>
      <c r="D2" s="69" t="s">
        <v>113</v>
      </c>
      <c r="E2" s="69" t="s">
        <v>114</v>
      </c>
      <c r="F2" s="69"/>
      <c r="G2" s="69"/>
      <c r="H2" s="69"/>
      <c r="I2" s="69"/>
      <c r="J2" s="69"/>
      <c r="K2" s="69" t="s">
        <v>115</v>
      </c>
      <c r="L2" s="69" t="s">
        <v>116</v>
      </c>
      <c r="M2" s="69" t="s">
        <v>117</v>
      </c>
      <c r="N2" s="69" t="s">
        <v>118</v>
      </c>
      <c r="O2" s="69" t="s">
        <v>119</v>
      </c>
      <c r="P2" s="69" t="s">
        <v>120</v>
      </c>
    </row>
    <row r="3" spans="1:16" s="58" customFormat="1" ht="20.25" hidden="1" customHeight="1" x14ac:dyDescent="0.25">
      <c r="A3" s="65" t="s">
        <v>99</v>
      </c>
      <c r="B3" s="70">
        <f>'[4]SUIVI RETRAITE '!B7</f>
        <v>4910.7999999999993</v>
      </c>
      <c r="C3" s="71">
        <f>'[4]SUIVI RETRAITE '!C7</f>
        <v>3428</v>
      </c>
      <c r="D3" s="72">
        <f>C3</f>
        <v>3428</v>
      </c>
      <c r="E3" s="72">
        <f>B3</f>
        <v>4910.7999999999993</v>
      </c>
      <c r="F3" s="72"/>
      <c r="G3" s="72"/>
      <c r="H3" s="72"/>
      <c r="I3" s="72"/>
      <c r="J3" s="72"/>
      <c r="K3" s="72">
        <f t="shared" ref="K3:K14" si="0">MIN(D3,E3)</f>
        <v>3428</v>
      </c>
      <c r="L3" s="72">
        <f>K3</f>
        <v>3428</v>
      </c>
      <c r="M3" s="72">
        <f>IF(E3&gt;D3,IF((E3-D3)&gt;3*D3,3*D3,E3-D3),0)</f>
        <v>1482.7999999999993</v>
      </c>
      <c r="N3" s="72">
        <f>M3</f>
        <v>1482.7999999999993</v>
      </c>
      <c r="O3" s="72">
        <f>IF(E3&gt;8*D3,7*D3,IF(E3&lt;D3,0,E3-D3))</f>
        <v>1482.7999999999993</v>
      </c>
      <c r="P3" s="72">
        <f>O3</f>
        <v>1482.7999999999993</v>
      </c>
    </row>
    <row r="4" spans="1:16" s="58" customFormat="1" ht="20.25" hidden="1" customHeight="1" x14ac:dyDescent="0.25">
      <c r="A4" s="65" t="s">
        <v>121</v>
      </c>
      <c r="B4" s="70">
        <f>'[4]SUIVI RETRAITE '!B8</f>
        <v>0</v>
      </c>
      <c r="C4" s="71">
        <f>'[4]SUIVI RETRAITE '!C8</f>
        <v>0</v>
      </c>
      <c r="D4" s="72">
        <f>D3+C4</f>
        <v>3428</v>
      </c>
      <c r="E4" s="72">
        <f>E3+B4</f>
        <v>4910.7999999999993</v>
      </c>
      <c r="F4" s="72"/>
      <c r="G4" s="72"/>
      <c r="H4" s="72"/>
      <c r="I4" s="72"/>
      <c r="J4" s="72"/>
      <c r="K4" s="72">
        <f t="shared" si="0"/>
        <v>3428</v>
      </c>
      <c r="L4" s="72">
        <f t="shared" ref="L4:L14" si="1">K4-K3</f>
        <v>0</v>
      </c>
      <c r="M4" s="72">
        <f t="shared" ref="M4:M14" si="2">IF(E4&gt;D4,IF((E4-D4)&gt;3*D4,3*D4,E4-D4),0)</f>
        <v>1482.7999999999993</v>
      </c>
      <c r="N4" s="72">
        <f t="shared" ref="N4:N14" si="3">M4-M3</f>
        <v>0</v>
      </c>
      <c r="O4" s="72">
        <f>IF(E4&gt;8*D4,7*D4,IF(E4&lt;D4,0,E4-D4))</f>
        <v>1482.7999999999993</v>
      </c>
      <c r="P4" s="72">
        <f t="shared" ref="P4:P14" si="4">O4-O3</f>
        <v>0</v>
      </c>
    </row>
    <row r="5" spans="1:16" s="58" customFormat="1" ht="20.25" hidden="1" customHeight="1" x14ac:dyDescent="0.25">
      <c r="A5" s="65" t="s">
        <v>100</v>
      </c>
      <c r="B5" s="70" t="e">
        <f>'[4]SUIVI RETRAITE '!B9</f>
        <v>#DIV/0!</v>
      </c>
      <c r="C5" s="71">
        <f>'[4]SUIVI RETRAITE '!C9</f>
        <v>0</v>
      </c>
      <c r="D5" s="72">
        <f>D4+C5</f>
        <v>3428</v>
      </c>
      <c r="E5" s="72" t="e">
        <f>E4+B5</f>
        <v>#DIV/0!</v>
      </c>
      <c r="F5" s="72"/>
      <c r="G5" s="72"/>
      <c r="H5" s="72"/>
      <c r="I5" s="72"/>
      <c r="J5" s="72"/>
      <c r="K5" s="72" t="e">
        <f t="shared" si="0"/>
        <v>#DIV/0!</v>
      </c>
      <c r="L5" s="72" t="e">
        <f t="shared" si="1"/>
        <v>#DIV/0!</v>
      </c>
      <c r="M5" s="72" t="e">
        <f t="shared" si="2"/>
        <v>#DIV/0!</v>
      </c>
      <c r="N5" s="72" t="e">
        <f t="shared" si="3"/>
        <v>#DIV/0!</v>
      </c>
      <c r="O5" s="72" t="e">
        <f t="shared" ref="O5:O14" si="5">IF(E5&gt;8*D5,7*D5,IF(E5&lt;D5,0,E5-D5))</f>
        <v>#DIV/0!</v>
      </c>
      <c r="P5" s="72" t="e">
        <f t="shared" si="4"/>
        <v>#DIV/0!</v>
      </c>
    </row>
    <row r="6" spans="1:16" s="58" customFormat="1" ht="20.25" hidden="1" customHeight="1" x14ac:dyDescent="0.25">
      <c r="A6" s="65" t="s">
        <v>122</v>
      </c>
      <c r="B6" s="70" t="e">
        <f>'[4]SUIVI RETRAITE '!B10</f>
        <v>#DIV/0!</v>
      </c>
      <c r="C6" s="71">
        <f>'[4]SUIVI RETRAITE '!C10</f>
        <v>0</v>
      </c>
      <c r="D6" s="72">
        <f>D5+C6</f>
        <v>3428</v>
      </c>
      <c r="E6" s="72" t="e">
        <f>E5+B6</f>
        <v>#DIV/0!</v>
      </c>
      <c r="F6" s="72"/>
      <c r="G6" s="72"/>
      <c r="H6" s="72"/>
      <c r="I6" s="72"/>
      <c r="J6" s="72"/>
      <c r="K6" s="72" t="e">
        <f t="shared" si="0"/>
        <v>#DIV/0!</v>
      </c>
      <c r="L6" s="72" t="e">
        <f t="shared" si="1"/>
        <v>#DIV/0!</v>
      </c>
      <c r="M6" s="72" t="e">
        <f t="shared" si="2"/>
        <v>#DIV/0!</v>
      </c>
      <c r="N6" s="72" t="e">
        <f t="shared" si="3"/>
        <v>#DIV/0!</v>
      </c>
      <c r="O6" s="72" t="e">
        <f t="shared" si="5"/>
        <v>#DIV/0!</v>
      </c>
      <c r="P6" s="72" t="e">
        <f t="shared" si="4"/>
        <v>#DIV/0!</v>
      </c>
    </row>
    <row r="7" spans="1:16" s="58" customFormat="1" ht="20.25" hidden="1" customHeight="1" x14ac:dyDescent="0.25">
      <c r="A7" s="65" t="s">
        <v>103</v>
      </c>
      <c r="B7" s="70" t="e">
        <f>'[4]SUIVI RETRAITE '!B11</f>
        <v>#DIV/0!</v>
      </c>
      <c r="C7" s="71">
        <f>'[4]SUIVI RETRAITE '!C11</f>
        <v>0</v>
      </c>
      <c r="D7" s="72">
        <f t="shared" ref="D7:D14" si="6">D6+C7</f>
        <v>3428</v>
      </c>
      <c r="E7" s="72" t="e">
        <f t="shared" ref="E7:E14" si="7">E6+B7</f>
        <v>#DIV/0!</v>
      </c>
      <c r="F7" s="72"/>
      <c r="G7" s="72"/>
      <c r="H7" s="72"/>
      <c r="I7" s="72"/>
      <c r="J7" s="72"/>
      <c r="K7" s="72" t="e">
        <f t="shared" si="0"/>
        <v>#DIV/0!</v>
      </c>
      <c r="L7" s="72" t="e">
        <f t="shared" si="1"/>
        <v>#DIV/0!</v>
      </c>
      <c r="M7" s="72" t="e">
        <f t="shared" si="2"/>
        <v>#DIV/0!</v>
      </c>
      <c r="N7" s="72" t="e">
        <f t="shared" si="3"/>
        <v>#DIV/0!</v>
      </c>
      <c r="O7" s="72" t="e">
        <f t="shared" si="5"/>
        <v>#DIV/0!</v>
      </c>
      <c r="P7" s="72" t="e">
        <f t="shared" si="4"/>
        <v>#DIV/0!</v>
      </c>
    </row>
    <row r="8" spans="1:16" s="58" customFormat="1" ht="20.25" hidden="1" customHeight="1" x14ac:dyDescent="0.25">
      <c r="A8" s="65" t="s">
        <v>101</v>
      </c>
      <c r="B8" s="70" t="e">
        <f>'[4]SUIVI RETRAITE '!B12</f>
        <v>#DIV/0!</v>
      </c>
      <c r="C8" s="71">
        <f>'[4]SUIVI RETRAITE '!C12</f>
        <v>0</v>
      </c>
      <c r="D8" s="71">
        <f t="shared" si="6"/>
        <v>3428</v>
      </c>
      <c r="E8" s="71" t="e">
        <f t="shared" si="7"/>
        <v>#DIV/0!</v>
      </c>
      <c r="F8" s="71"/>
      <c r="G8" s="71"/>
      <c r="H8" s="71"/>
      <c r="I8" s="71"/>
      <c r="J8" s="71"/>
      <c r="K8" s="72" t="e">
        <f t="shared" si="0"/>
        <v>#DIV/0!</v>
      </c>
      <c r="L8" s="72" t="e">
        <f t="shared" si="1"/>
        <v>#DIV/0!</v>
      </c>
      <c r="M8" s="72" t="e">
        <f t="shared" si="2"/>
        <v>#DIV/0!</v>
      </c>
      <c r="N8" s="72" t="e">
        <f t="shared" si="3"/>
        <v>#DIV/0!</v>
      </c>
      <c r="O8" s="72" t="e">
        <f t="shared" si="5"/>
        <v>#DIV/0!</v>
      </c>
      <c r="P8" s="72" t="e">
        <f t="shared" si="4"/>
        <v>#DIV/0!</v>
      </c>
    </row>
    <row r="9" spans="1:16" s="58" customFormat="1" ht="20.25" hidden="1" customHeight="1" x14ac:dyDescent="0.25">
      <c r="A9" s="65" t="s">
        <v>104</v>
      </c>
      <c r="B9" s="70" t="e">
        <f>'[4]SUIVI RETRAITE '!B13</f>
        <v>#DIV/0!</v>
      </c>
      <c r="C9" s="71">
        <f>'[4]SUIVI RETRAITE '!C13</f>
        <v>0</v>
      </c>
      <c r="D9" s="71">
        <f t="shared" si="6"/>
        <v>3428</v>
      </c>
      <c r="E9" s="71" t="e">
        <f t="shared" si="7"/>
        <v>#DIV/0!</v>
      </c>
      <c r="F9" s="71"/>
      <c r="G9" s="71"/>
      <c r="H9" s="71"/>
      <c r="I9" s="71"/>
      <c r="J9" s="71"/>
      <c r="K9" s="72" t="e">
        <f t="shared" si="0"/>
        <v>#DIV/0!</v>
      </c>
      <c r="L9" s="72" t="e">
        <f t="shared" si="1"/>
        <v>#DIV/0!</v>
      </c>
      <c r="M9" s="72" t="e">
        <f t="shared" si="2"/>
        <v>#DIV/0!</v>
      </c>
      <c r="N9" s="72" t="e">
        <f t="shared" si="3"/>
        <v>#DIV/0!</v>
      </c>
      <c r="O9" s="72" t="e">
        <f t="shared" si="5"/>
        <v>#DIV/0!</v>
      </c>
      <c r="P9" s="72" t="e">
        <f t="shared" si="4"/>
        <v>#DIV/0!</v>
      </c>
    </row>
    <row r="10" spans="1:16" s="58" customFormat="1" ht="20.25" hidden="1" customHeight="1" x14ac:dyDescent="0.25">
      <c r="A10" s="65" t="s">
        <v>105</v>
      </c>
      <c r="B10" s="70" t="e">
        <f>'[4]SUIVI RETRAITE '!B14</f>
        <v>#DIV/0!</v>
      </c>
      <c r="C10" s="71">
        <f>'[4]SUIVI RETRAITE '!C14</f>
        <v>0</v>
      </c>
      <c r="D10" s="71">
        <f t="shared" si="6"/>
        <v>3428</v>
      </c>
      <c r="E10" s="71" t="e">
        <f t="shared" si="7"/>
        <v>#DIV/0!</v>
      </c>
      <c r="F10" s="71"/>
      <c r="G10" s="71"/>
      <c r="H10" s="71"/>
      <c r="I10" s="71"/>
      <c r="J10" s="71"/>
      <c r="K10" s="72" t="e">
        <f t="shared" si="0"/>
        <v>#DIV/0!</v>
      </c>
      <c r="L10" s="72" t="e">
        <f t="shared" si="1"/>
        <v>#DIV/0!</v>
      </c>
      <c r="M10" s="72" t="e">
        <f t="shared" si="2"/>
        <v>#DIV/0!</v>
      </c>
      <c r="N10" s="72" t="e">
        <f t="shared" si="3"/>
        <v>#DIV/0!</v>
      </c>
      <c r="O10" s="72" t="e">
        <f t="shared" si="5"/>
        <v>#DIV/0!</v>
      </c>
      <c r="P10" s="72" t="e">
        <f t="shared" si="4"/>
        <v>#DIV/0!</v>
      </c>
    </row>
    <row r="11" spans="1:16" s="58" customFormat="1" ht="20.25" hidden="1" customHeight="1" x14ac:dyDescent="0.25">
      <c r="A11" s="65" t="s">
        <v>106</v>
      </c>
      <c r="B11" s="70" t="e">
        <f>'[4]SUIVI RETRAITE '!B15</f>
        <v>#DIV/0!</v>
      </c>
      <c r="C11" s="71">
        <f>'[4]SUIVI RETRAITE '!C15</f>
        <v>0</v>
      </c>
      <c r="D11" s="71">
        <f t="shared" si="6"/>
        <v>3428</v>
      </c>
      <c r="E11" s="71" t="e">
        <f t="shared" si="7"/>
        <v>#DIV/0!</v>
      </c>
      <c r="F11" s="71"/>
      <c r="G11" s="71"/>
      <c r="H11" s="71"/>
      <c r="I11" s="71"/>
      <c r="J11" s="71"/>
      <c r="K11" s="72" t="e">
        <f t="shared" si="0"/>
        <v>#DIV/0!</v>
      </c>
      <c r="L11" s="72" t="e">
        <f t="shared" si="1"/>
        <v>#DIV/0!</v>
      </c>
      <c r="M11" s="72" t="e">
        <f t="shared" si="2"/>
        <v>#DIV/0!</v>
      </c>
      <c r="N11" s="72" t="e">
        <f t="shared" si="3"/>
        <v>#DIV/0!</v>
      </c>
      <c r="O11" s="72" t="e">
        <f t="shared" si="5"/>
        <v>#DIV/0!</v>
      </c>
      <c r="P11" s="72" t="e">
        <f t="shared" si="4"/>
        <v>#DIV/0!</v>
      </c>
    </row>
    <row r="12" spans="1:16" s="58" customFormat="1" ht="20.25" hidden="1" customHeight="1" x14ac:dyDescent="0.25">
      <c r="A12" s="65" t="s">
        <v>102</v>
      </c>
      <c r="B12" s="70" t="e">
        <f>'[4]SUIVI RETRAITE '!B16</f>
        <v>#DIV/0!</v>
      </c>
      <c r="C12" s="71">
        <f>'[4]SUIVI RETRAITE '!C16</f>
        <v>0</v>
      </c>
      <c r="D12" s="71">
        <f t="shared" si="6"/>
        <v>3428</v>
      </c>
      <c r="E12" s="71" t="e">
        <f t="shared" si="7"/>
        <v>#DIV/0!</v>
      </c>
      <c r="F12" s="71"/>
      <c r="G12" s="71"/>
      <c r="H12" s="71"/>
      <c r="I12" s="71"/>
      <c r="J12" s="71"/>
      <c r="K12" s="72" t="e">
        <f t="shared" si="0"/>
        <v>#DIV/0!</v>
      </c>
      <c r="L12" s="72" t="e">
        <f t="shared" si="1"/>
        <v>#DIV/0!</v>
      </c>
      <c r="M12" s="72" t="e">
        <f t="shared" si="2"/>
        <v>#DIV/0!</v>
      </c>
      <c r="N12" s="72" t="e">
        <f t="shared" si="3"/>
        <v>#DIV/0!</v>
      </c>
      <c r="O12" s="72" t="e">
        <f t="shared" si="5"/>
        <v>#DIV/0!</v>
      </c>
      <c r="P12" s="72" t="e">
        <f t="shared" si="4"/>
        <v>#DIV/0!</v>
      </c>
    </row>
    <row r="13" spans="1:16" s="58" customFormat="1" ht="20.25" hidden="1" customHeight="1" x14ac:dyDescent="0.25">
      <c r="A13" s="65" t="s">
        <v>107</v>
      </c>
      <c r="B13" s="70" t="e">
        <f>'[4]SUIVI RETRAITE '!B17</f>
        <v>#DIV/0!</v>
      </c>
      <c r="C13" s="71">
        <f>'[4]SUIVI RETRAITE '!C17</f>
        <v>0</v>
      </c>
      <c r="D13" s="71">
        <f t="shared" si="6"/>
        <v>3428</v>
      </c>
      <c r="E13" s="71" t="e">
        <f t="shared" si="7"/>
        <v>#DIV/0!</v>
      </c>
      <c r="F13" s="71"/>
      <c r="G13" s="71"/>
      <c r="H13" s="71"/>
      <c r="I13" s="71"/>
      <c r="J13" s="71"/>
      <c r="K13" s="72" t="e">
        <f t="shared" si="0"/>
        <v>#DIV/0!</v>
      </c>
      <c r="L13" s="72" t="e">
        <f t="shared" si="1"/>
        <v>#DIV/0!</v>
      </c>
      <c r="M13" s="72" t="e">
        <f t="shared" si="2"/>
        <v>#DIV/0!</v>
      </c>
      <c r="N13" s="72" t="e">
        <f t="shared" si="3"/>
        <v>#DIV/0!</v>
      </c>
      <c r="O13" s="72" t="e">
        <f t="shared" si="5"/>
        <v>#DIV/0!</v>
      </c>
      <c r="P13" s="72" t="e">
        <f t="shared" si="4"/>
        <v>#DIV/0!</v>
      </c>
    </row>
    <row r="14" spans="1:16" s="58" customFormat="1" ht="20.25" hidden="1" customHeight="1" x14ac:dyDescent="0.25">
      <c r="A14" s="65" t="s">
        <v>108</v>
      </c>
      <c r="B14" s="70" t="e">
        <f>'[4]SUIVI RETRAITE '!B18</f>
        <v>#DIV/0!</v>
      </c>
      <c r="C14" s="71">
        <f>'[4]SUIVI RETRAITE '!C18</f>
        <v>0</v>
      </c>
      <c r="D14" s="71">
        <f t="shared" si="6"/>
        <v>3428</v>
      </c>
      <c r="E14" s="71" t="e">
        <f t="shared" si="7"/>
        <v>#DIV/0!</v>
      </c>
      <c r="F14" s="71"/>
      <c r="G14" s="71"/>
      <c r="H14" s="71"/>
      <c r="I14" s="71"/>
      <c r="J14" s="71"/>
      <c r="K14" s="72" t="e">
        <f t="shared" si="0"/>
        <v>#DIV/0!</v>
      </c>
      <c r="L14" s="72" t="e">
        <f t="shared" si="1"/>
        <v>#DIV/0!</v>
      </c>
      <c r="M14" s="72" t="e">
        <f t="shared" si="2"/>
        <v>#DIV/0!</v>
      </c>
      <c r="N14" s="72" t="e">
        <f t="shared" si="3"/>
        <v>#DIV/0!</v>
      </c>
      <c r="O14" s="72" t="e">
        <f t="shared" si="5"/>
        <v>#DIV/0!</v>
      </c>
      <c r="P14" s="72" t="e">
        <f t="shared" si="4"/>
        <v>#DIV/0!</v>
      </c>
    </row>
    <row r="15" spans="1:16" s="58" customFormat="1" ht="20.25" hidden="1" customHeight="1" x14ac:dyDescent="0.25">
      <c r="B15" s="73" t="e">
        <f>'[4]SUIVI RETRAITE '!B19</f>
        <v>#DIV/0!</v>
      </c>
      <c r="C15" s="74">
        <f>'[4]SUIVI RETRAITE '!C19</f>
        <v>0</v>
      </c>
      <c r="D15" s="60"/>
    </row>
    <row r="16" spans="1:16" ht="20.25" hidden="1" customHeight="1" x14ac:dyDescent="0.25"/>
    <row r="17" spans="1:18" ht="20.25" hidden="1" customHeight="1" x14ac:dyDescent="0.25"/>
    <row r="18" spans="1:18" ht="20.25" hidden="1" customHeight="1" x14ac:dyDescent="0.25">
      <c r="A18" t="s">
        <v>123</v>
      </c>
    </row>
    <row r="19" spans="1:18" s="58" customFormat="1" ht="20.25" hidden="1" customHeight="1" x14ac:dyDescent="0.25">
      <c r="A19" s="742" t="s">
        <v>124</v>
      </c>
      <c r="B19" s="742"/>
      <c r="C19" s="742"/>
      <c r="D19" s="742"/>
      <c r="E19" s="742"/>
      <c r="F19" s="742"/>
      <c r="G19" s="742"/>
      <c r="H19" s="742"/>
      <c r="I19" s="742"/>
      <c r="J19" s="742"/>
      <c r="K19" s="742"/>
      <c r="L19" s="742"/>
      <c r="M19" s="742"/>
      <c r="N19" s="870"/>
      <c r="O19" s="870"/>
      <c r="P19" s="870"/>
      <c r="Q19" s="870"/>
    </row>
    <row r="20" spans="1:18" s="58" customFormat="1" ht="12.75" customHeight="1" x14ac:dyDescent="0.25">
      <c r="A20" s="61"/>
      <c r="B20" s="177"/>
      <c r="C20" s="177"/>
      <c r="D20" s="177"/>
      <c r="E20" s="177"/>
      <c r="F20" s="177"/>
      <c r="G20" s="177"/>
      <c r="H20" s="177"/>
      <c r="I20" s="177"/>
      <c r="J20" s="61"/>
      <c r="K20" s="61"/>
      <c r="L20" s="61"/>
      <c r="M20" s="61"/>
      <c r="N20" s="176"/>
      <c r="O20" s="176"/>
      <c r="P20" s="176"/>
      <c r="Q20" s="176"/>
    </row>
    <row r="21" spans="1:18" s="58" customFormat="1" ht="25.5" customHeight="1" x14ac:dyDescent="0.25">
      <c r="A21" s="871" t="s">
        <v>828</v>
      </c>
      <c r="B21" s="871"/>
      <c r="C21" s="871"/>
      <c r="D21" s="871"/>
      <c r="E21" s="871"/>
      <c r="F21" s="871"/>
      <c r="G21" s="871"/>
      <c r="H21" s="871"/>
      <c r="I21" s="871"/>
      <c r="J21" s="871"/>
      <c r="K21" s="871"/>
      <c r="N21" s="872"/>
      <c r="O21" s="872"/>
      <c r="P21" s="872"/>
      <c r="Q21" s="872"/>
    </row>
    <row r="22" spans="1:18" s="58" customFormat="1" ht="20.25" hidden="1" customHeight="1" x14ac:dyDescent="0.25">
      <c r="A22" s="76" t="s">
        <v>125</v>
      </c>
      <c r="B22" s="76" t="s">
        <v>126</v>
      </c>
      <c r="C22" s="76" t="s">
        <v>127</v>
      </c>
      <c r="D22" s="76" t="s">
        <v>128</v>
      </c>
      <c r="E22" s="76" t="s">
        <v>129</v>
      </c>
      <c r="F22" s="76"/>
      <c r="G22" s="76"/>
      <c r="H22" s="76"/>
      <c r="I22" s="76"/>
      <c r="J22" s="76"/>
      <c r="K22" s="76" t="s">
        <v>130</v>
      </c>
      <c r="L22" s="76" t="s">
        <v>131</v>
      </c>
      <c r="M22" s="76" t="s">
        <v>132</v>
      </c>
      <c r="N22" s="76" t="s">
        <v>133</v>
      </c>
    </row>
    <row r="23" spans="1:18" s="78" customFormat="1" ht="20.25" hidden="1" customHeight="1" x14ac:dyDescent="0.2">
      <c r="A23" s="77" t="s">
        <v>80</v>
      </c>
      <c r="B23" s="77" t="s">
        <v>111</v>
      </c>
      <c r="C23" s="77" t="s">
        <v>112</v>
      </c>
      <c r="D23" s="77" t="s">
        <v>113</v>
      </c>
      <c r="E23" s="77" t="s">
        <v>114</v>
      </c>
      <c r="F23" s="77"/>
      <c r="G23" s="77"/>
      <c r="H23" s="77"/>
      <c r="I23" s="77"/>
      <c r="J23" s="77"/>
      <c r="K23" s="77" t="s">
        <v>134</v>
      </c>
      <c r="L23" s="77" t="s">
        <v>135</v>
      </c>
      <c r="M23" s="77" t="s">
        <v>119</v>
      </c>
      <c r="N23" s="77" t="s">
        <v>120</v>
      </c>
      <c r="R23" s="79"/>
    </row>
    <row r="24" spans="1:18" s="58" customFormat="1" ht="20.25" hidden="1" customHeight="1" x14ac:dyDescent="0.25">
      <c r="A24" s="80" t="s">
        <v>99</v>
      </c>
      <c r="B24" s="81">
        <f>'[4]SUIVI RETRAITE '!B7</f>
        <v>4910.7999999999993</v>
      </c>
      <c r="C24" s="82">
        <f>'[4]SUIVI RETRAITE '!C7</f>
        <v>3428</v>
      </c>
      <c r="D24" s="82">
        <f>C24</f>
        <v>3428</v>
      </c>
      <c r="E24" s="82">
        <f>B24</f>
        <v>4910.7999999999993</v>
      </c>
      <c r="F24" s="82"/>
      <c r="G24" s="82"/>
      <c r="H24" s="82"/>
      <c r="I24" s="82"/>
      <c r="J24" s="82"/>
      <c r="K24" s="83">
        <f>IF(E24&lt;D24,0,MIN(E24,D24))</f>
        <v>3428</v>
      </c>
      <c r="L24" s="82">
        <f>K24</f>
        <v>3428</v>
      </c>
      <c r="M24" s="83">
        <f>IF(E24&gt;8*D24,7*D24,IF(E24&lt;D24,0,E24-D24))</f>
        <v>1482.7999999999993</v>
      </c>
      <c r="N24" s="82">
        <f>M24</f>
        <v>1482.7999999999993</v>
      </c>
      <c r="R24" s="84"/>
    </row>
    <row r="25" spans="1:18" s="58" customFormat="1" ht="20.25" hidden="1" customHeight="1" x14ac:dyDescent="0.25">
      <c r="A25" s="80" t="s">
        <v>121</v>
      </c>
      <c r="B25" s="81">
        <f>'[4]SUIVI RETRAITE '!B8</f>
        <v>0</v>
      </c>
      <c r="C25" s="82">
        <f>'[4]SUIVI RETRAITE '!C8</f>
        <v>0</v>
      </c>
      <c r="D25" s="82">
        <f>D24+C25</f>
        <v>3428</v>
      </c>
      <c r="E25" s="82">
        <f>E24+B25</f>
        <v>4910.7999999999993</v>
      </c>
      <c r="F25" s="82"/>
      <c r="G25" s="82"/>
      <c r="H25" s="82"/>
      <c r="I25" s="82"/>
      <c r="J25" s="82"/>
      <c r="K25" s="82">
        <f t="shared" ref="K25:K35" si="8">IF(E25&lt;D25,0,MIN(E25,D25))</f>
        <v>3428</v>
      </c>
      <c r="L25" s="82">
        <f>K25-K24</f>
        <v>0</v>
      </c>
      <c r="M25" s="83">
        <f>IF(E25&gt;8*D25,7*D25,IF(E25&lt;D25,0,E25-D25))</f>
        <v>1482.7999999999993</v>
      </c>
      <c r="N25" s="82">
        <f>M25-M24</f>
        <v>0</v>
      </c>
      <c r="R25" s="84"/>
    </row>
    <row r="26" spans="1:18" s="58" customFormat="1" ht="20.25" hidden="1" customHeight="1" x14ac:dyDescent="0.25">
      <c r="A26" s="80" t="s">
        <v>100</v>
      </c>
      <c r="B26" s="81" t="e">
        <f>'[4]SUIVI RETRAITE '!B9</f>
        <v>#DIV/0!</v>
      </c>
      <c r="C26" s="82">
        <f>'[4]SUIVI RETRAITE '!C9</f>
        <v>0</v>
      </c>
      <c r="D26" s="82">
        <f>D25+C26</f>
        <v>3428</v>
      </c>
      <c r="E26" s="82" t="e">
        <f>E25+B26</f>
        <v>#DIV/0!</v>
      </c>
      <c r="F26" s="82"/>
      <c r="G26" s="82"/>
      <c r="H26" s="82"/>
      <c r="I26" s="82"/>
      <c r="J26" s="82"/>
      <c r="K26" s="82" t="e">
        <f t="shared" si="8"/>
        <v>#DIV/0!</v>
      </c>
      <c r="L26" s="82" t="e">
        <f>K26-K25</f>
        <v>#DIV/0!</v>
      </c>
      <c r="M26" s="83" t="e">
        <f t="shared" ref="M26:M35" si="9">IF(E26&gt;8*D26,7*D26,IF(E26&lt;D26,0,E26-D26))</f>
        <v>#DIV/0!</v>
      </c>
      <c r="N26" s="82" t="e">
        <f t="shared" ref="N26:N35" si="10">M26-M25</f>
        <v>#DIV/0!</v>
      </c>
      <c r="R26" s="84"/>
    </row>
    <row r="27" spans="1:18" s="58" customFormat="1" ht="20.25" hidden="1" customHeight="1" x14ac:dyDescent="0.25">
      <c r="A27" s="80" t="s">
        <v>122</v>
      </c>
      <c r="B27" s="81" t="e">
        <f>'[4]SUIVI RETRAITE '!B10</f>
        <v>#DIV/0!</v>
      </c>
      <c r="C27" s="82">
        <f>'[4]SUIVI RETRAITE '!C10</f>
        <v>0</v>
      </c>
      <c r="D27" s="82">
        <f>D26+C27</f>
        <v>3428</v>
      </c>
      <c r="E27" s="82" t="e">
        <f>E26+B27</f>
        <v>#DIV/0!</v>
      </c>
      <c r="F27" s="82"/>
      <c r="G27" s="82"/>
      <c r="H27" s="82"/>
      <c r="I27" s="82"/>
      <c r="J27" s="82"/>
      <c r="K27" s="82" t="e">
        <f t="shared" si="8"/>
        <v>#DIV/0!</v>
      </c>
      <c r="L27" s="82" t="e">
        <f t="shared" ref="L27:L35" si="11">K27-K26</f>
        <v>#DIV/0!</v>
      </c>
      <c r="M27" s="83" t="e">
        <f t="shared" si="9"/>
        <v>#DIV/0!</v>
      </c>
      <c r="N27" s="82" t="e">
        <f t="shared" si="10"/>
        <v>#DIV/0!</v>
      </c>
      <c r="R27" s="84"/>
    </row>
    <row r="28" spans="1:18" s="58" customFormat="1" ht="20.25" hidden="1" customHeight="1" x14ac:dyDescent="0.25">
      <c r="A28" s="80" t="s">
        <v>103</v>
      </c>
      <c r="B28" s="81" t="e">
        <f>'[4]SUIVI RETRAITE '!B11</f>
        <v>#DIV/0!</v>
      </c>
      <c r="C28" s="82">
        <f>'[4]SUIVI RETRAITE '!C11</f>
        <v>0</v>
      </c>
      <c r="D28" s="82">
        <f t="shared" ref="D28:D35" si="12">D27+C28</f>
        <v>3428</v>
      </c>
      <c r="E28" s="82" t="e">
        <f t="shared" ref="E28:E35" si="13">E27+B28</f>
        <v>#DIV/0!</v>
      </c>
      <c r="F28" s="82"/>
      <c r="G28" s="82"/>
      <c r="H28" s="82"/>
      <c r="I28" s="82"/>
      <c r="J28" s="82"/>
      <c r="K28" s="82" t="e">
        <f t="shared" si="8"/>
        <v>#DIV/0!</v>
      </c>
      <c r="L28" s="82" t="e">
        <f t="shared" si="11"/>
        <v>#DIV/0!</v>
      </c>
      <c r="M28" s="83" t="e">
        <f t="shared" si="9"/>
        <v>#DIV/0!</v>
      </c>
      <c r="N28" s="82" t="e">
        <f t="shared" si="10"/>
        <v>#DIV/0!</v>
      </c>
      <c r="R28" s="84"/>
    </row>
    <row r="29" spans="1:18" s="58" customFormat="1" ht="20.25" hidden="1" customHeight="1" x14ac:dyDescent="0.25">
      <c r="A29" s="80" t="s">
        <v>101</v>
      </c>
      <c r="B29" s="81" t="e">
        <f>'[4]SUIVI RETRAITE '!B12</f>
        <v>#DIV/0!</v>
      </c>
      <c r="C29" s="82">
        <f>'[4]SUIVI RETRAITE '!C12</f>
        <v>0</v>
      </c>
      <c r="D29" s="85">
        <f t="shared" si="12"/>
        <v>3428</v>
      </c>
      <c r="E29" s="85" t="e">
        <f t="shared" si="13"/>
        <v>#DIV/0!</v>
      </c>
      <c r="F29" s="85"/>
      <c r="G29" s="85"/>
      <c r="H29" s="85"/>
      <c r="I29" s="85"/>
      <c r="J29" s="85"/>
      <c r="K29" s="82" t="e">
        <f t="shared" si="8"/>
        <v>#DIV/0!</v>
      </c>
      <c r="L29" s="82" t="e">
        <f t="shared" si="11"/>
        <v>#DIV/0!</v>
      </c>
      <c r="M29" s="83" t="e">
        <f t="shared" si="9"/>
        <v>#DIV/0!</v>
      </c>
      <c r="N29" s="82" t="e">
        <f t="shared" si="10"/>
        <v>#DIV/0!</v>
      </c>
      <c r="R29" s="84"/>
    </row>
    <row r="30" spans="1:18" s="58" customFormat="1" ht="20.25" hidden="1" customHeight="1" x14ac:dyDescent="0.25">
      <c r="A30" s="80" t="s">
        <v>104</v>
      </c>
      <c r="B30" s="81" t="e">
        <f>'[4]SUIVI RETRAITE '!B13</f>
        <v>#DIV/0!</v>
      </c>
      <c r="C30" s="82">
        <f>'[4]SUIVI RETRAITE '!C13</f>
        <v>0</v>
      </c>
      <c r="D30" s="85">
        <f t="shared" si="12"/>
        <v>3428</v>
      </c>
      <c r="E30" s="85" t="e">
        <f t="shared" si="13"/>
        <v>#DIV/0!</v>
      </c>
      <c r="F30" s="85"/>
      <c r="G30" s="85"/>
      <c r="H30" s="85"/>
      <c r="I30" s="85"/>
      <c r="J30" s="85"/>
      <c r="K30" s="82" t="e">
        <f t="shared" si="8"/>
        <v>#DIV/0!</v>
      </c>
      <c r="L30" s="82" t="e">
        <f t="shared" si="11"/>
        <v>#DIV/0!</v>
      </c>
      <c r="M30" s="83" t="e">
        <f t="shared" si="9"/>
        <v>#DIV/0!</v>
      </c>
      <c r="N30" s="82" t="e">
        <f t="shared" si="10"/>
        <v>#DIV/0!</v>
      </c>
    </row>
    <row r="31" spans="1:18" s="58" customFormat="1" ht="20.25" hidden="1" customHeight="1" x14ac:dyDescent="0.25">
      <c r="A31" s="80" t="s">
        <v>105</v>
      </c>
      <c r="B31" s="81" t="e">
        <f>'[4]SUIVI RETRAITE '!B14</f>
        <v>#DIV/0!</v>
      </c>
      <c r="C31" s="82">
        <f>'[4]SUIVI RETRAITE '!C14</f>
        <v>0</v>
      </c>
      <c r="D31" s="85">
        <f t="shared" si="12"/>
        <v>3428</v>
      </c>
      <c r="E31" s="85" t="e">
        <f t="shared" si="13"/>
        <v>#DIV/0!</v>
      </c>
      <c r="F31" s="85"/>
      <c r="G31" s="85"/>
      <c r="H31" s="85"/>
      <c r="I31" s="85"/>
      <c r="J31" s="85"/>
      <c r="K31" s="82" t="e">
        <f t="shared" si="8"/>
        <v>#DIV/0!</v>
      </c>
      <c r="L31" s="82" t="e">
        <f t="shared" si="11"/>
        <v>#DIV/0!</v>
      </c>
      <c r="M31" s="83" t="e">
        <f t="shared" si="9"/>
        <v>#DIV/0!</v>
      </c>
      <c r="N31" s="82" t="e">
        <f t="shared" si="10"/>
        <v>#DIV/0!</v>
      </c>
    </row>
    <row r="32" spans="1:18" s="58" customFormat="1" ht="20.25" hidden="1" customHeight="1" x14ac:dyDescent="0.25">
      <c r="A32" s="80" t="s">
        <v>106</v>
      </c>
      <c r="B32" s="81" t="e">
        <f>'[4]SUIVI RETRAITE '!B15</f>
        <v>#DIV/0!</v>
      </c>
      <c r="C32" s="82">
        <f>'[4]SUIVI RETRAITE '!C15</f>
        <v>0</v>
      </c>
      <c r="D32" s="85">
        <f t="shared" si="12"/>
        <v>3428</v>
      </c>
      <c r="E32" s="85" t="e">
        <f t="shared" si="13"/>
        <v>#DIV/0!</v>
      </c>
      <c r="F32" s="85"/>
      <c r="G32" s="85"/>
      <c r="H32" s="85"/>
      <c r="I32" s="85"/>
      <c r="J32" s="85"/>
      <c r="K32" s="82" t="e">
        <f t="shared" si="8"/>
        <v>#DIV/0!</v>
      </c>
      <c r="L32" s="82" t="e">
        <f t="shared" si="11"/>
        <v>#DIV/0!</v>
      </c>
      <c r="M32" s="83" t="e">
        <f t="shared" si="9"/>
        <v>#DIV/0!</v>
      </c>
      <c r="N32" s="82" t="e">
        <f t="shared" si="10"/>
        <v>#DIV/0!</v>
      </c>
      <c r="R32" s="86"/>
    </row>
    <row r="33" spans="1:33" s="58" customFormat="1" ht="20.25" hidden="1" customHeight="1" x14ac:dyDescent="0.25">
      <c r="A33" s="80" t="s">
        <v>102</v>
      </c>
      <c r="B33" s="81" t="e">
        <f>'[4]SUIVI RETRAITE '!B16</f>
        <v>#DIV/0!</v>
      </c>
      <c r="C33" s="82">
        <f>'[4]SUIVI RETRAITE '!C16</f>
        <v>0</v>
      </c>
      <c r="D33" s="85">
        <f t="shared" si="12"/>
        <v>3428</v>
      </c>
      <c r="E33" s="85" t="e">
        <f t="shared" si="13"/>
        <v>#DIV/0!</v>
      </c>
      <c r="F33" s="85"/>
      <c r="G33" s="85"/>
      <c r="H33" s="85"/>
      <c r="I33" s="85"/>
      <c r="J33" s="85"/>
      <c r="K33" s="82" t="e">
        <f t="shared" si="8"/>
        <v>#DIV/0!</v>
      </c>
      <c r="L33" s="82" t="e">
        <f t="shared" si="11"/>
        <v>#DIV/0!</v>
      </c>
      <c r="M33" s="83" t="e">
        <f t="shared" si="9"/>
        <v>#DIV/0!</v>
      </c>
      <c r="N33" s="82" t="e">
        <f t="shared" si="10"/>
        <v>#DIV/0!</v>
      </c>
      <c r="R33" s="84"/>
    </row>
    <row r="34" spans="1:33" s="58" customFormat="1" ht="20.25" hidden="1" customHeight="1" x14ac:dyDescent="0.25">
      <c r="A34" s="80" t="s">
        <v>107</v>
      </c>
      <c r="B34" s="81" t="e">
        <f>'[4]SUIVI RETRAITE '!B17</f>
        <v>#DIV/0!</v>
      </c>
      <c r="C34" s="82">
        <f>'[4]SUIVI RETRAITE '!C17</f>
        <v>0</v>
      </c>
      <c r="D34" s="85">
        <f t="shared" si="12"/>
        <v>3428</v>
      </c>
      <c r="E34" s="85" t="e">
        <f t="shared" si="13"/>
        <v>#DIV/0!</v>
      </c>
      <c r="F34" s="85"/>
      <c r="G34" s="85"/>
      <c r="H34" s="85"/>
      <c r="I34" s="85"/>
      <c r="J34" s="85"/>
      <c r="K34" s="82" t="e">
        <f t="shared" si="8"/>
        <v>#DIV/0!</v>
      </c>
      <c r="L34" s="82" t="e">
        <f t="shared" si="11"/>
        <v>#DIV/0!</v>
      </c>
      <c r="M34" s="83" t="e">
        <f t="shared" si="9"/>
        <v>#DIV/0!</v>
      </c>
      <c r="N34" s="82" t="e">
        <f t="shared" si="10"/>
        <v>#DIV/0!</v>
      </c>
      <c r="R34" s="84"/>
    </row>
    <row r="35" spans="1:33" s="58" customFormat="1" ht="20.25" hidden="1" customHeight="1" x14ac:dyDescent="0.25">
      <c r="A35" s="80" t="s">
        <v>108</v>
      </c>
      <c r="B35" s="81" t="e">
        <f>'[4]SUIVI RETRAITE '!B18</f>
        <v>#DIV/0!</v>
      </c>
      <c r="C35" s="82">
        <f>'[4]SUIVI RETRAITE '!C18</f>
        <v>0</v>
      </c>
      <c r="D35" s="85">
        <f t="shared" si="12"/>
        <v>3428</v>
      </c>
      <c r="E35" s="85" t="e">
        <f t="shared" si="13"/>
        <v>#DIV/0!</v>
      </c>
      <c r="F35" s="85"/>
      <c r="G35" s="85"/>
      <c r="H35" s="85"/>
      <c r="I35" s="85"/>
      <c r="J35" s="85"/>
      <c r="K35" s="82" t="e">
        <f t="shared" si="8"/>
        <v>#DIV/0!</v>
      </c>
      <c r="L35" s="82" t="e">
        <f t="shared" si="11"/>
        <v>#DIV/0!</v>
      </c>
      <c r="M35" s="83" t="e">
        <f t="shared" si="9"/>
        <v>#DIV/0!</v>
      </c>
      <c r="N35" s="82" t="e">
        <f t="shared" si="10"/>
        <v>#DIV/0!</v>
      </c>
      <c r="R35" s="84"/>
    </row>
    <row r="36" spans="1:33" s="58" customFormat="1" ht="20.25" hidden="1" customHeight="1" x14ac:dyDescent="0.25">
      <c r="A36" s="87"/>
      <c r="B36" s="416" t="e">
        <f>'[4]SUIVI RETRAITE '!B19</f>
        <v>#DIV/0!</v>
      </c>
      <c r="C36" s="417">
        <f>'[4]SUIVI RETRAITE '!C19</f>
        <v>0</v>
      </c>
      <c r="D36" s="88"/>
      <c r="E36" s="88"/>
      <c r="F36" s="88"/>
      <c r="G36" s="88"/>
      <c r="H36" s="88"/>
      <c r="I36" s="88"/>
      <c r="J36" s="88"/>
      <c r="K36" s="88"/>
      <c r="L36" s="88"/>
      <c r="M36" s="89"/>
      <c r="N36" s="88"/>
      <c r="R36" s="84"/>
    </row>
    <row r="37" spans="1:33" s="58" customFormat="1" ht="20.25" customHeight="1" x14ac:dyDescent="0.25">
      <c r="A37" s="87"/>
      <c r="B37" s="418"/>
      <c r="C37" s="90"/>
      <c r="D37" s="88"/>
      <c r="E37" s="88"/>
      <c r="F37" s="88"/>
      <c r="G37" s="88"/>
      <c r="H37" s="88"/>
      <c r="I37" s="88"/>
      <c r="J37" s="88"/>
      <c r="K37" s="88"/>
      <c r="L37" s="88"/>
      <c r="M37" s="89"/>
      <c r="N37" s="88"/>
      <c r="R37" s="84"/>
    </row>
    <row r="38" spans="1:33" s="58" customFormat="1" ht="20.25" customHeight="1" x14ac:dyDescent="0.25">
      <c r="A38" s="87"/>
      <c r="B38" s="873" t="s">
        <v>829</v>
      </c>
      <c r="C38" s="873"/>
      <c r="D38" s="873"/>
      <c r="E38" s="873"/>
      <c r="F38" s="874"/>
      <c r="G38" s="875" t="s">
        <v>830</v>
      </c>
      <c r="H38" s="875"/>
      <c r="I38" s="875"/>
      <c r="J38" s="875"/>
      <c r="K38" s="875"/>
      <c r="L38" s="88"/>
      <c r="M38" s="89"/>
      <c r="N38" s="88"/>
      <c r="R38" s="84"/>
    </row>
    <row r="39" spans="1:33" s="58" customFormat="1" ht="20.25" customHeight="1" x14ac:dyDescent="0.25">
      <c r="A39" s="418"/>
      <c r="B39" s="876" t="s">
        <v>794</v>
      </c>
      <c r="C39" s="876"/>
      <c r="D39" s="877" t="s">
        <v>189</v>
      </c>
      <c r="E39" s="877"/>
      <c r="F39" s="877"/>
      <c r="G39" s="876" t="s">
        <v>794</v>
      </c>
      <c r="H39" s="876"/>
      <c r="I39" s="877" t="s">
        <v>189</v>
      </c>
      <c r="J39" s="877"/>
      <c r="K39" s="877"/>
      <c r="L39" s="88"/>
      <c r="M39" s="89"/>
      <c r="N39" s="88"/>
      <c r="R39" s="84"/>
    </row>
    <row r="40" spans="1:33" ht="30" customHeight="1" x14ac:dyDescent="0.25">
      <c r="A40" s="419"/>
      <c r="B40" s="420"/>
      <c r="D40" s="91" t="s">
        <v>94</v>
      </c>
      <c r="E40" s="91" t="s">
        <v>141</v>
      </c>
      <c r="F40" s="92" t="s">
        <v>142</v>
      </c>
      <c r="G40" s="420"/>
      <c r="I40" s="91" t="s">
        <v>94</v>
      </c>
      <c r="J40" s="91" t="s">
        <v>141</v>
      </c>
      <c r="K40" s="92" t="s">
        <v>142</v>
      </c>
      <c r="L40" s="170" t="s">
        <v>141</v>
      </c>
      <c r="M40" s="92" t="s">
        <v>142</v>
      </c>
      <c r="N40" s="91" t="s">
        <v>141</v>
      </c>
      <c r="O40" s="92" t="s">
        <v>142</v>
      </c>
      <c r="P40" s="91" t="s">
        <v>141</v>
      </c>
      <c r="Q40" s="92" t="s">
        <v>142</v>
      </c>
      <c r="R40" s="91" t="s">
        <v>141</v>
      </c>
      <c r="S40" s="92" t="s">
        <v>142</v>
      </c>
      <c r="T40" s="91" t="s">
        <v>141</v>
      </c>
      <c r="U40" s="92" t="s">
        <v>142</v>
      </c>
      <c r="V40" s="91" t="s">
        <v>141</v>
      </c>
      <c r="W40" s="92" t="s">
        <v>142</v>
      </c>
      <c r="X40" s="91" t="s">
        <v>141</v>
      </c>
      <c r="Y40" s="92" t="s">
        <v>142</v>
      </c>
      <c r="Z40" s="91" t="s">
        <v>141</v>
      </c>
      <c r="AA40" s="92" t="s">
        <v>142</v>
      </c>
      <c r="AB40" s="91" t="s">
        <v>141</v>
      </c>
      <c r="AC40" s="92" t="s">
        <v>142</v>
      </c>
      <c r="AD40" s="91" t="s">
        <v>141</v>
      </c>
      <c r="AE40" s="92" t="s">
        <v>142</v>
      </c>
      <c r="AF40" s="91" t="s">
        <v>141</v>
      </c>
      <c r="AG40" s="92" t="s">
        <v>142</v>
      </c>
    </row>
    <row r="41" spans="1:33" ht="20.25" customHeight="1" x14ac:dyDescent="0.25">
      <c r="A41" s="419"/>
      <c r="B41" s="878" t="s">
        <v>40</v>
      </c>
      <c r="C41" s="879"/>
      <c r="D41" s="415">
        <f>'TABLE DES TAUX 2026 '!C17</f>
        <v>6.9000000000000006E-2</v>
      </c>
      <c r="E41" s="94">
        <v>3195.34</v>
      </c>
      <c r="F41" s="95">
        <f>ROUND(E41*D41,2)</f>
        <v>220.48</v>
      </c>
      <c r="G41" s="878" t="s">
        <v>40</v>
      </c>
      <c r="H41" s="879"/>
      <c r="I41" s="415">
        <f>D41</f>
        <v>6.9000000000000006E-2</v>
      </c>
      <c r="J41" s="94">
        <f>'TABLE DES TAUX 2026 '!C51</f>
        <v>4005</v>
      </c>
      <c r="K41" s="95">
        <f>ROUND(J41*I41,2)</f>
        <v>276.35000000000002</v>
      </c>
      <c r="L41" s="171">
        <f>L4</f>
        <v>0</v>
      </c>
      <c r="M41" s="95">
        <f>ROUND(L41*D41/100,2)</f>
        <v>0</v>
      </c>
      <c r="N41" s="95" t="e">
        <f>L5</f>
        <v>#DIV/0!</v>
      </c>
      <c r="O41" s="95" t="e">
        <f>ROUND(N41*D41/100,2)</f>
        <v>#DIV/0!</v>
      </c>
      <c r="P41" s="95" t="e">
        <f>L6</f>
        <v>#DIV/0!</v>
      </c>
      <c r="Q41" s="95" t="e">
        <f>ROUND(P41*D41/100,2)</f>
        <v>#DIV/0!</v>
      </c>
      <c r="R41" s="95" t="e">
        <f>L7</f>
        <v>#DIV/0!</v>
      </c>
      <c r="S41" s="95" t="e">
        <f>ROUND(R41*D41/100,2)</f>
        <v>#DIV/0!</v>
      </c>
      <c r="T41" s="95" t="e">
        <f>+L8</f>
        <v>#DIV/0!</v>
      </c>
      <c r="U41" s="95" t="e">
        <f>+ROUND(T41*D41/100,2)</f>
        <v>#DIV/0!</v>
      </c>
      <c r="V41" s="96" t="e">
        <f>L9</f>
        <v>#DIV/0!</v>
      </c>
      <c r="W41" s="97" t="e">
        <f>ROUND(V41*D41/100,2)</f>
        <v>#DIV/0!</v>
      </c>
      <c r="X41" s="96" t="e">
        <f>L10</f>
        <v>#DIV/0!</v>
      </c>
      <c r="Y41" s="97" t="e">
        <f>ROUND(X41*D41/100,2)</f>
        <v>#DIV/0!</v>
      </c>
      <c r="Z41" s="96" t="e">
        <f>L11</f>
        <v>#DIV/0!</v>
      </c>
      <c r="AA41" s="97" t="e">
        <f>ROUND(Z41*D41/100,2)</f>
        <v>#DIV/0!</v>
      </c>
      <c r="AB41" s="96" t="e">
        <f>L12</f>
        <v>#DIV/0!</v>
      </c>
      <c r="AC41" s="98" t="e">
        <f>ROUND(AB41*D41/100,2)</f>
        <v>#DIV/0!</v>
      </c>
      <c r="AD41" s="96" t="e">
        <f>L13</f>
        <v>#DIV/0!</v>
      </c>
      <c r="AE41" s="98" t="e">
        <f>ROUND(AD41*D41/100,2)</f>
        <v>#DIV/0!</v>
      </c>
      <c r="AF41" s="96" t="e">
        <f>L14</f>
        <v>#DIV/0!</v>
      </c>
      <c r="AG41" s="98" t="e">
        <f>ROUND(AF41*D41/100,2)</f>
        <v>#DIV/0!</v>
      </c>
    </row>
    <row r="42" spans="1:33" ht="20.25" customHeight="1" x14ac:dyDescent="0.25">
      <c r="A42" s="419"/>
      <c r="B42" s="878" t="s">
        <v>41</v>
      </c>
      <c r="C42" s="879"/>
      <c r="D42" s="415">
        <f>'TABLE DES TAUX 2026 '!C18</f>
        <v>4.0000000000000001E-3</v>
      </c>
      <c r="E42" s="94">
        <f>E41</f>
        <v>3195.34</v>
      </c>
      <c r="F42" s="95">
        <f t="shared" ref="F42:F48" si="14">ROUND(E42*D42,2)</f>
        <v>12.78</v>
      </c>
      <c r="G42" s="878" t="s">
        <v>41</v>
      </c>
      <c r="H42" s="879"/>
      <c r="I42" s="415">
        <f t="shared" ref="I42" si="15">D42</f>
        <v>4.0000000000000001E-3</v>
      </c>
      <c r="J42" s="94">
        <f>'BP VERSION JANVIER 2023'!J33</f>
        <v>19802.14</v>
      </c>
      <c r="K42" s="95">
        <f t="shared" ref="K42:K48" si="16">ROUND(J42*I42,2)</f>
        <v>79.209999999999994</v>
      </c>
      <c r="L42" s="171">
        <f>B4</f>
        <v>0</v>
      </c>
      <c r="M42" s="95">
        <f t="shared" ref="M42:M49" si="17">ROUND(L42*D42/100,2)</f>
        <v>0</v>
      </c>
      <c r="N42" s="95" t="e">
        <f>B5</f>
        <v>#DIV/0!</v>
      </c>
      <c r="O42" s="95" t="e">
        <f t="shared" ref="O42:O49" si="18">ROUND(N42*D42/100,2)</f>
        <v>#DIV/0!</v>
      </c>
      <c r="P42" s="95" t="e">
        <f>B6</f>
        <v>#DIV/0!</v>
      </c>
      <c r="Q42" s="95" t="e">
        <f t="shared" ref="Q42:Q49" si="19">ROUND(P42*D42/100,2)</f>
        <v>#DIV/0!</v>
      </c>
      <c r="R42" s="95" t="e">
        <f>B7</f>
        <v>#DIV/0!</v>
      </c>
      <c r="S42" s="95" t="e">
        <f t="shared" ref="S42:S47" si="20">ROUND(R42*D42/100,2)</f>
        <v>#DIV/0!</v>
      </c>
      <c r="T42" s="95" t="e">
        <f>E8</f>
        <v>#DIV/0!</v>
      </c>
      <c r="U42" s="95" t="e">
        <f>ROUND(T42*D42/100,2)</f>
        <v>#DIV/0!</v>
      </c>
      <c r="V42" s="99" t="e">
        <f>E9</f>
        <v>#DIV/0!</v>
      </c>
      <c r="W42" s="98" t="e">
        <f>ROUND(V42*D42/100,2)</f>
        <v>#DIV/0!</v>
      </c>
      <c r="X42" s="96" t="e">
        <f>E10</f>
        <v>#DIV/0!</v>
      </c>
      <c r="Y42" s="98" t="e">
        <f>ROUND(X42*D42/100,2)</f>
        <v>#DIV/0!</v>
      </c>
      <c r="Z42" s="96" t="e">
        <f>E11</f>
        <v>#DIV/0!</v>
      </c>
      <c r="AA42" s="98" t="e">
        <f>ROUND(Z42*D42/100,2)</f>
        <v>#DIV/0!</v>
      </c>
      <c r="AB42" s="96" t="e">
        <f>E12</f>
        <v>#DIV/0!</v>
      </c>
      <c r="AC42" s="98" t="e">
        <f>ROUND(AB42*D42/100,2)</f>
        <v>#DIV/0!</v>
      </c>
      <c r="AD42" s="96" t="e">
        <f>E13</f>
        <v>#DIV/0!</v>
      </c>
      <c r="AE42" s="98" t="e">
        <f>ROUND(AD42*D42/100,2)</f>
        <v>#DIV/0!</v>
      </c>
      <c r="AF42" s="96" t="e">
        <f>E14</f>
        <v>#DIV/0!</v>
      </c>
      <c r="AG42" s="98" t="e">
        <f>ROUND(AF42*D42/100,2)</f>
        <v>#DIV/0!</v>
      </c>
    </row>
    <row r="43" spans="1:33" ht="20.25" customHeight="1" x14ac:dyDescent="0.25">
      <c r="A43" s="419"/>
      <c r="B43" s="878" t="s">
        <v>42</v>
      </c>
      <c r="C43" s="879"/>
      <c r="D43" s="648">
        <f>'TABLE DES TAUX 2026 '!B73</f>
        <v>4.0099999999999997E-2</v>
      </c>
      <c r="E43" s="94">
        <f>E42</f>
        <v>3195.34</v>
      </c>
      <c r="F43" s="95">
        <f t="shared" si="14"/>
        <v>128.13</v>
      </c>
      <c r="G43" s="878" t="s">
        <v>42</v>
      </c>
      <c r="H43" s="879"/>
      <c r="I43" s="648">
        <f>IF('BP FORMAT JUILLET 2023'!J33&gt;'BP FORMAT JUILLET 2023'!C33,'TABLE DES TAUX 2026 '!D73,'TABLE DES TAUX 2026 '!B73)</f>
        <v>4.1499999999999995E-2</v>
      </c>
      <c r="J43" s="94">
        <f>J41</f>
        <v>4005</v>
      </c>
      <c r="K43" s="95">
        <f t="shared" si="16"/>
        <v>166.21</v>
      </c>
      <c r="L43" s="171">
        <f>L4</f>
        <v>0</v>
      </c>
      <c r="M43" s="95">
        <f t="shared" si="17"/>
        <v>0</v>
      </c>
      <c r="N43" s="95" t="e">
        <f>L5</f>
        <v>#DIV/0!</v>
      </c>
      <c r="O43" s="95" t="e">
        <f t="shared" si="18"/>
        <v>#DIV/0!</v>
      </c>
      <c r="P43" s="95" t="e">
        <f>P41</f>
        <v>#DIV/0!</v>
      </c>
      <c r="Q43" s="95" t="e">
        <f t="shared" si="19"/>
        <v>#DIV/0!</v>
      </c>
      <c r="R43" s="95" t="e">
        <f>R41</f>
        <v>#DIV/0!</v>
      </c>
      <c r="S43" s="95" t="e">
        <f t="shared" si="20"/>
        <v>#DIV/0!</v>
      </c>
      <c r="T43" s="95" t="e">
        <f>T41</f>
        <v>#DIV/0!</v>
      </c>
      <c r="U43" s="95" t="e">
        <f t="shared" ref="U43:U48" si="21">ROUND(T43*D43/100,2)</f>
        <v>#DIV/0!</v>
      </c>
      <c r="V43" s="96" t="e">
        <f>V41</f>
        <v>#DIV/0!</v>
      </c>
      <c r="W43" s="97" t="e">
        <f>ROUND(V43*D43/100,2)</f>
        <v>#DIV/0!</v>
      </c>
      <c r="X43" s="96" t="e">
        <f>X41</f>
        <v>#DIV/0!</v>
      </c>
      <c r="Y43" s="98" t="e">
        <f>ROUND(X43*D43/100,2)</f>
        <v>#DIV/0!</v>
      </c>
      <c r="Z43" s="96" t="e">
        <f>Z41</f>
        <v>#DIV/0!</v>
      </c>
      <c r="AA43" s="98" t="e">
        <f>ROUND(Z43*D43/100,2)</f>
        <v>#DIV/0!</v>
      </c>
      <c r="AB43" s="96" t="e">
        <f>AB41</f>
        <v>#DIV/0!</v>
      </c>
      <c r="AC43" s="98" t="e">
        <f>ROUND(AB43*D43/100,2)</f>
        <v>#DIV/0!</v>
      </c>
      <c r="AD43" s="96" t="e">
        <f>AD41</f>
        <v>#DIV/0!</v>
      </c>
      <c r="AE43" s="98" t="e">
        <f>ROUND(AD43*D43/100,2)</f>
        <v>#DIV/0!</v>
      </c>
      <c r="AF43" s="96" t="e">
        <f>AF41</f>
        <v>#DIV/0!</v>
      </c>
      <c r="AG43" s="98" t="e">
        <f>ROUND(AF43*D43/100,2)</f>
        <v>#DIV/0!</v>
      </c>
    </row>
    <row r="44" spans="1:33" ht="20.25" customHeight="1" x14ac:dyDescent="0.25">
      <c r="A44" s="419"/>
      <c r="B44" s="878" t="s">
        <v>43</v>
      </c>
      <c r="C44" s="879"/>
      <c r="D44" s="415"/>
      <c r="E44" s="94"/>
      <c r="F44" s="95">
        <f t="shared" si="14"/>
        <v>0</v>
      </c>
      <c r="G44" s="878" t="s">
        <v>43</v>
      </c>
      <c r="H44" s="879"/>
      <c r="I44" s="648">
        <f>IF('BP FORMAT JUILLET 2023'!J33&gt;'BP FORMAT JUILLET 2023'!C33,'TABLE DES TAUX 2026 '!D79,0)</f>
        <v>9.8600000000000007E-2</v>
      </c>
      <c r="J44" s="94">
        <f>'BP VERSION JANVIER 2023'!C52</f>
        <v>15797.14</v>
      </c>
      <c r="K44" s="95">
        <f t="shared" si="16"/>
        <v>1557.6</v>
      </c>
      <c r="L44" s="171">
        <f>P4</f>
        <v>0</v>
      </c>
      <c r="M44" s="95">
        <f>ROUND(L44*D44/100,2)</f>
        <v>0</v>
      </c>
      <c r="N44" s="95" t="e">
        <f>P5</f>
        <v>#DIV/0!</v>
      </c>
      <c r="O44" s="95" t="e">
        <f t="shared" si="18"/>
        <v>#DIV/0!</v>
      </c>
      <c r="P44" s="95" t="e">
        <f>P6</f>
        <v>#DIV/0!</v>
      </c>
      <c r="Q44" s="95" t="e">
        <f t="shared" si="19"/>
        <v>#DIV/0!</v>
      </c>
      <c r="R44" s="95" t="e">
        <f>P7</f>
        <v>#DIV/0!</v>
      </c>
      <c r="S44" s="95" t="e">
        <f t="shared" si="20"/>
        <v>#DIV/0!</v>
      </c>
      <c r="T44" s="95" t="e">
        <f>P8</f>
        <v>#DIV/0!</v>
      </c>
      <c r="U44" s="95" t="e">
        <f t="shared" si="21"/>
        <v>#DIV/0!</v>
      </c>
      <c r="V44" s="96" t="e">
        <f>P9</f>
        <v>#DIV/0!</v>
      </c>
      <c r="W44" s="98" t="e">
        <f>ROUND(V44*D44/100,2)</f>
        <v>#DIV/0!</v>
      </c>
      <c r="X44" s="96" t="e">
        <f>P10</f>
        <v>#DIV/0!</v>
      </c>
      <c r="Y44" s="98" t="e">
        <f>ROUND(X44*D44/100,2)</f>
        <v>#DIV/0!</v>
      </c>
      <c r="Z44" s="96" t="e">
        <f>P11</f>
        <v>#DIV/0!</v>
      </c>
      <c r="AA44" s="98" t="e">
        <f>ROUND(Z44*D44/100,2)</f>
        <v>#DIV/0!</v>
      </c>
      <c r="AB44" s="96" t="e">
        <f>P12</f>
        <v>#DIV/0!</v>
      </c>
      <c r="AC44" s="98" t="e">
        <f>ROUND(AB44*D44/100,2)</f>
        <v>#DIV/0!</v>
      </c>
      <c r="AD44" s="96" t="e">
        <f>P13</f>
        <v>#DIV/0!</v>
      </c>
      <c r="AE44" s="98" t="e">
        <f>ROUND(AD44*D44/100,2)</f>
        <v>#DIV/0!</v>
      </c>
      <c r="AF44" s="96" t="e">
        <f>P14</f>
        <v>#DIV/0!</v>
      </c>
      <c r="AG44" s="98" t="e">
        <f>ROUND(AF44*D44/100,2)</f>
        <v>#DIV/0!</v>
      </c>
    </row>
    <row r="45" spans="1:33" ht="21.75" hidden="1" customHeight="1" x14ac:dyDescent="0.25">
      <c r="A45" s="419"/>
      <c r="B45" s="878"/>
      <c r="C45" s="879"/>
      <c r="D45" s="93"/>
      <c r="E45" s="94"/>
      <c r="F45" s="95">
        <f t="shared" si="14"/>
        <v>0</v>
      </c>
      <c r="G45" s="878"/>
      <c r="H45" s="879"/>
      <c r="I45" s="93"/>
      <c r="J45" s="94"/>
      <c r="K45" s="95">
        <f t="shared" si="16"/>
        <v>0</v>
      </c>
      <c r="L45" s="171">
        <f>L43</f>
        <v>0</v>
      </c>
      <c r="M45" s="95">
        <f t="shared" si="17"/>
        <v>0</v>
      </c>
      <c r="N45" s="95" t="e">
        <f>N43</f>
        <v>#DIV/0!</v>
      </c>
      <c r="O45" s="95" t="e">
        <f t="shared" si="18"/>
        <v>#DIV/0!</v>
      </c>
      <c r="P45" s="95" t="e">
        <f>P43</f>
        <v>#DIV/0!</v>
      </c>
      <c r="Q45" s="95" t="e">
        <f t="shared" si="19"/>
        <v>#DIV/0!</v>
      </c>
      <c r="R45" s="95" t="e">
        <f>R43</f>
        <v>#DIV/0!</v>
      </c>
      <c r="S45" s="95" t="e">
        <f t="shared" si="20"/>
        <v>#DIV/0!</v>
      </c>
      <c r="T45" s="95" t="e">
        <f>T43</f>
        <v>#DIV/0!</v>
      </c>
      <c r="U45" s="95" t="e">
        <f t="shared" si="21"/>
        <v>#DIV/0!</v>
      </c>
      <c r="V45" s="96" t="e">
        <f>V43</f>
        <v>#DIV/0!</v>
      </c>
      <c r="W45" s="98" t="e">
        <f>ROUND(V45*D45/100,2)</f>
        <v>#DIV/0!</v>
      </c>
      <c r="X45" s="96" t="e">
        <f>+X43</f>
        <v>#DIV/0!</v>
      </c>
      <c r="Y45" s="98" t="e">
        <f>ROUND($D$45*X45/100,2)</f>
        <v>#DIV/0!</v>
      </c>
      <c r="Z45" s="96" t="e">
        <f>+Z43</f>
        <v>#DIV/0!</v>
      </c>
      <c r="AA45" s="98" t="e">
        <f>ROUND($D$45*Z45/100,2)</f>
        <v>#DIV/0!</v>
      </c>
      <c r="AB45" s="96" t="e">
        <f>+AB43</f>
        <v>#DIV/0!</v>
      </c>
      <c r="AC45" s="98" t="e">
        <f>ROUND($D$45*AB45/100,2)</f>
        <v>#DIV/0!</v>
      </c>
      <c r="AD45" s="96" t="e">
        <f>+AD43</f>
        <v>#DIV/0!</v>
      </c>
      <c r="AE45" s="98" t="e">
        <f>ROUND($D$45*AD45/100,2)</f>
        <v>#DIV/0!</v>
      </c>
      <c r="AF45" s="96" t="e">
        <f>+AF43</f>
        <v>#DIV/0!</v>
      </c>
      <c r="AG45" s="98" t="e">
        <f>ROUND($D$45*AF45/100,2)</f>
        <v>#DIV/0!</v>
      </c>
    </row>
    <row r="46" spans="1:33" ht="21.75" hidden="1" customHeight="1" x14ac:dyDescent="0.25">
      <c r="A46" s="419"/>
      <c r="B46" s="878"/>
      <c r="C46" s="879"/>
      <c r="D46" s="93"/>
      <c r="E46" s="94"/>
      <c r="F46" s="95">
        <f t="shared" si="14"/>
        <v>0</v>
      </c>
      <c r="G46" s="878"/>
      <c r="H46" s="879"/>
      <c r="I46" s="93"/>
      <c r="J46" s="94"/>
      <c r="K46" s="95">
        <f t="shared" si="16"/>
        <v>0</v>
      </c>
      <c r="L46" s="171">
        <f>L44</f>
        <v>0</v>
      </c>
      <c r="M46" s="95">
        <f t="shared" si="17"/>
        <v>0</v>
      </c>
      <c r="N46" s="95" t="e">
        <f>N44</f>
        <v>#DIV/0!</v>
      </c>
      <c r="O46" s="95" t="e">
        <f t="shared" si="18"/>
        <v>#DIV/0!</v>
      </c>
      <c r="P46" s="95" t="e">
        <f>P44</f>
        <v>#DIV/0!</v>
      </c>
      <c r="Q46" s="95" t="e">
        <f t="shared" si="19"/>
        <v>#DIV/0!</v>
      </c>
      <c r="R46" s="95" t="e">
        <f>R44</f>
        <v>#DIV/0!</v>
      </c>
      <c r="S46" s="95" t="e">
        <f t="shared" si="20"/>
        <v>#DIV/0!</v>
      </c>
      <c r="T46" s="95" t="e">
        <f>T44</f>
        <v>#DIV/0!</v>
      </c>
      <c r="U46" s="95" t="e">
        <f t="shared" si="21"/>
        <v>#DIV/0!</v>
      </c>
      <c r="V46" s="96" t="e">
        <f>V44</f>
        <v>#DIV/0!</v>
      </c>
      <c r="W46" s="98" t="e">
        <f>ROUND($D$46*V46/100,2)</f>
        <v>#DIV/0!</v>
      </c>
      <c r="X46" s="96" t="e">
        <f>X44</f>
        <v>#DIV/0!</v>
      </c>
      <c r="Y46" s="98" t="e">
        <f>ROUND($D$46*X46/100,2)</f>
        <v>#DIV/0!</v>
      </c>
      <c r="Z46" s="96" t="e">
        <f>Z44</f>
        <v>#DIV/0!</v>
      </c>
      <c r="AA46" s="98" t="e">
        <f>ROUND($D$46*Z46/100,2)</f>
        <v>#DIV/0!</v>
      </c>
      <c r="AB46" s="96" t="e">
        <f>AB44</f>
        <v>#DIV/0!</v>
      </c>
      <c r="AC46" s="98" t="e">
        <f>ROUND($D$46*AB46/100,2)</f>
        <v>#DIV/0!</v>
      </c>
      <c r="AD46" s="96" t="e">
        <f>AD44</f>
        <v>#DIV/0!</v>
      </c>
      <c r="AE46" s="98" t="e">
        <f>ROUND($D$46*AD46/100,2)</f>
        <v>#DIV/0!</v>
      </c>
      <c r="AF46" s="96" t="e">
        <f>AF44</f>
        <v>#DIV/0!</v>
      </c>
      <c r="AG46" s="98" t="e">
        <f>ROUND($D$46*AF46/100,2)</f>
        <v>#DIV/0!</v>
      </c>
    </row>
    <row r="47" spans="1:33" ht="21.75" hidden="1" customHeight="1" x14ac:dyDescent="0.25">
      <c r="A47" s="419"/>
      <c r="B47" s="878"/>
      <c r="C47" s="879"/>
      <c r="D47" s="93"/>
      <c r="E47" s="94"/>
      <c r="F47" s="95">
        <f t="shared" si="14"/>
        <v>0</v>
      </c>
      <c r="G47" s="878"/>
      <c r="H47" s="879"/>
      <c r="I47" s="93"/>
      <c r="J47" s="94"/>
      <c r="K47" s="95">
        <f t="shared" si="16"/>
        <v>0</v>
      </c>
      <c r="L47" s="171">
        <f>L25</f>
        <v>0</v>
      </c>
      <c r="M47" s="95">
        <f t="shared" si="17"/>
        <v>0</v>
      </c>
      <c r="N47" s="95" t="e">
        <f>L26</f>
        <v>#DIV/0!</v>
      </c>
      <c r="O47" s="95" t="e">
        <f t="shared" si="18"/>
        <v>#DIV/0!</v>
      </c>
      <c r="P47" s="95" t="e">
        <f>L27</f>
        <v>#DIV/0!</v>
      </c>
      <c r="Q47" s="95" t="e">
        <f t="shared" si="19"/>
        <v>#DIV/0!</v>
      </c>
      <c r="R47" s="95" t="e">
        <f>L28</f>
        <v>#DIV/0!</v>
      </c>
      <c r="S47" s="95" t="e">
        <f t="shared" si="20"/>
        <v>#DIV/0!</v>
      </c>
      <c r="T47" s="95" t="e">
        <f>L29</f>
        <v>#DIV/0!</v>
      </c>
      <c r="U47" s="95" t="e">
        <f t="shared" si="21"/>
        <v>#DIV/0!</v>
      </c>
      <c r="V47" s="96" t="e">
        <f>L30</f>
        <v>#DIV/0!</v>
      </c>
      <c r="W47" s="97" t="e">
        <f>ROUND(V47*$D$47/100,2)</f>
        <v>#DIV/0!</v>
      </c>
      <c r="X47" s="96" t="e">
        <f>L31</f>
        <v>#DIV/0!</v>
      </c>
      <c r="Y47" s="98" t="e">
        <f>ROUND(X47*$D$47/100,2)</f>
        <v>#DIV/0!</v>
      </c>
      <c r="Z47" s="96" t="e">
        <f>L32</f>
        <v>#DIV/0!</v>
      </c>
      <c r="AA47" s="98" t="e">
        <f>ROUND(Z47*$D$47/100,2)</f>
        <v>#DIV/0!</v>
      </c>
      <c r="AB47" s="96" t="e">
        <f>L33</f>
        <v>#DIV/0!</v>
      </c>
      <c r="AC47" s="98" t="e">
        <f>ROUND(AB47*$D$47/100,2)</f>
        <v>#DIV/0!</v>
      </c>
      <c r="AD47" s="96" t="e">
        <f>L34</f>
        <v>#DIV/0!</v>
      </c>
      <c r="AE47" s="98" t="e">
        <f>ROUND(AD47*$D$47/100,2)</f>
        <v>#DIV/0!</v>
      </c>
      <c r="AF47" s="96" t="e">
        <f>L35</f>
        <v>#DIV/0!</v>
      </c>
      <c r="AG47" s="98" t="e">
        <f>ROUND(AF47*$D$47/100,2)</f>
        <v>#DIV/0!</v>
      </c>
    </row>
    <row r="48" spans="1:33" ht="21.75" hidden="1" customHeight="1" x14ac:dyDescent="0.25">
      <c r="A48" s="419"/>
      <c r="B48" s="878"/>
      <c r="C48" s="879"/>
      <c r="D48" s="93"/>
      <c r="E48" s="94"/>
      <c r="F48" s="95">
        <f t="shared" si="14"/>
        <v>0</v>
      </c>
      <c r="G48" s="878"/>
      <c r="H48" s="879"/>
      <c r="I48" s="93"/>
      <c r="J48" s="94"/>
      <c r="K48" s="95">
        <f t="shared" si="16"/>
        <v>0</v>
      </c>
      <c r="L48" s="171">
        <f>N25</f>
        <v>0</v>
      </c>
      <c r="M48" s="95">
        <f t="shared" si="17"/>
        <v>0</v>
      </c>
      <c r="N48" s="95" t="e">
        <f>N26</f>
        <v>#DIV/0!</v>
      </c>
      <c r="O48" s="95" t="e">
        <f t="shared" si="18"/>
        <v>#DIV/0!</v>
      </c>
      <c r="P48" s="95" t="e">
        <f>N27</f>
        <v>#DIV/0!</v>
      </c>
      <c r="Q48" s="95" t="e">
        <f t="shared" si="19"/>
        <v>#DIV/0!</v>
      </c>
      <c r="R48" s="95" t="e">
        <f>N28</f>
        <v>#DIV/0!</v>
      </c>
      <c r="S48" s="95" t="e">
        <f>ROUND(D48*R48/100,2)</f>
        <v>#DIV/0!</v>
      </c>
      <c r="T48" s="95" t="e">
        <f>N29</f>
        <v>#DIV/0!</v>
      </c>
      <c r="U48" s="95" t="e">
        <f t="shared" si="21"/>
        <v>#DIV/0!</v>
      </c>
      <c r="V48" s="96" t="e">
        <f>N30</f>
        <v>#DIV/0!</v>
      </c>
      <c r="W48" s="98" t="e">
        <f>ROUND(V48*D48/100,2)</f>
        <v>#DIV/0!</v>
      </c>
      <c r="X48" s="96" t="e">
        <f>N31</f>
        <v>#DIV/0!</v>
      </c>
      <c r="Y48" s="98" t="e">
        <f>ROUND(X48*D48/100,2)</f>
        <v>#DIV/0!</v>
      </c>
      <c r="Z48" s="96" t="e">
        <f>N32</f>
        <v>#DIV/0!</v>
      </c>
      <c r="AA48" s="98" t="e">
        <f>ROUND(D48*Z48/100,2)</f>
        <v>#DIV/0!</v>
      </c>
      <c r="AB48" s="96" t="e">
        <f>N33</f>
        <v>#DIV/0!</v>
      </c>
      <c r="AC48" s="98" t="e">
        <f>ROUND(D48*AB48/100,2)</f>
        <v>#DIV/0!</v>
      </c>
      <c r="AD48" s="96" t="e">
        <f>N34</f>
        <v>#DIV/0!</v>
      </c>
      <c r="AE48" s="98" t="e">
        <f>ROUND(D48*AD48/100,2)</f>
        <v>#DIV/0!</v>
      </c>
      <c r="AF48" s="96" t="e">
        <f>N35</f>
        <v>#DIV/0!</v>
      </c>
      <c r="AG48" s="98" t="e">
        <f>ROUND(AF48*D48/100,2)</f>
        <v>#DIV/0!</v>
      </c>
    </row>
    <row r="49" spans="1:33" ht="21.75" hidden="1" customHeight="1" x14ac:dyDescent="0.25">
      <c r="A49" s="419"/>
      <c r="B49" s="878"/>
      <c r="C49" s="879"/>
      <c r="D49" s="367"/>
      <c r="E49" s="152"/>
      <c r="F49" s="95"/>
      <c r="G49" s="878"/>
      <c r="H49" s="879"/>
      <c r="I49" s="367"/>
      <c r="J49" s="152"/>
      <c r="K49" s="95"/>
      <c r="L49" s="171">
        <f>'[4]BP FEVRIER    '!C102</f>
        <v>0</v>
      </c>
      <c r="M49" s="95">
        <f t="shared" si="17"/>
        <v>0</v>
      </c>
      <c r="N49" s="95" t="e">
        <f>'[4]BP MARS   '!C102</f>
        <v>#DIV/0!</v>
      </c>
      <c r="O49" s="95" t="e">
        <f t="shared" si="18"/>
        <v>#DIV/0!</v>
      </c>
      <c r="P49" s="95" t="e">
        <f>'[4]BP AVRIL    '!C102</f>
        <v>#DIV/0!</v>
      </c>
      <c r="Q49" s="95" t="e">
        <f t="shared" si="19"/>
        <v>#DIV/0!</v>
      </c>
      <c r="R49" s="95" t="e">
        <f>'[4]BP MAI     '!C102</f>
        <v>#DIV/0!</v>
      </c>
      <c r="S49" s="95" t="e">
        <f>'[4]BP MAI     '!F102</f>
        <v>#DIV/0!</v>
      </c>
      <c r="T49" s="101" t="e">
        <f>'[4]BP  JUIN '!C102</f>
        <v>#DIV/0!</v>
      </c>
      <c r="U49" s="95" t="e">
        <f>ROUND(T49*D49/100,2)</f>
        <v>#DIV/0!</v>
      </c>
      <c r="V49" s="96" t="e">
        <f>+T49+'[4]BP JUILLET '!C102</f>
        <v>#DIV/0!</v>
      </c>
      <c r="W49" s="97" t="e">
        <f>ROUND(V49*$D$49/100,2)</f>
        <v>#DIV/0!</v>
      </c>
      <c r="X49" s="101" t="e">
        <f>V49+'[4]BP AOUT '!C101</f>
        <v>#DIV/0!</v>
      </c>
      <c r="Y49" s="98" t="e">
        <f>ROUND(X49*$D$49/100,2)</f>
        <v>#DIV/0!</v>
      </c>
      <c r="Z49" s="101" t="e">
        <f>X49+'[4]BP SEPTEMBRE '!C101</f>
        <v>#DIV/0!</v>
      </c>
      <c r="AA49" s="98" t="e">
        <f>ROUND(Z49*$D$49/100,2)</f>
        <v>#DIV/0!</v>
      </c>
      <c r="AB49" s="101" t="e">
        <f>Z49+'[4]BP OCTOBRE '!C101</f>
        <v>#DIV/0!</v>
      </c>
      <c r="AC49" s="98" t="e">
        <f>ROUND(AB49*$D$49/100,2)</f>
        <v>#DIV/0!</v>
      </c>
      <c r="AD49" s="101" t="e">
        <f>AB49+'[4]BP NOVEMBRE '!C101</f>
        <v>#DIV/0!</v>
      </c>
      <c r="AE49" s="98" t="e">
        <f>ROUND(AD49*$D$49/100,2)</f>
        <v>#DIV/0!</v>
      </c>
      <c r="AF49" s="101" t="e">
        <f>AD49+'[4]BP DECEMBRE '!C101</f>
        <v>#DIV/0!</v>
      </c>
      <c r="AG49" s="98" t="e">
        <f>ROUND(AF49*$D$49/100,2)</f>
        <v>#DIV/0!</v>
      </c>
    </row>
    <row r="50" spans="1:33" s="20" customFormat="1" ht="20.25" customHeight="1" x14ac:dyDescent="0.2">
      <c r="A50" s="419"/>
      <c r="B50" s="880" t="s">
        <v>86</v>
      </c>
      <c r="C50" s="880"/>
      <c r="D50" s="421"/>
      <c r="F50" s="139">
        <f>SUM(F41:F49)</f>
        <v>361.39</v>
      </c>
      <c r="G50" s="881" t="s">
        <v>86</v>
      </c>
      <c r="H50" s="881"/>
      <c r="I50" s="421"/>
      <c r="K50" s="139">
        <f>SUM(K41:K49)</f>
        <v>2079.37</v>
      </c>
      <c r="L50" s="172"/>
      <c r="M50" s="103">
        <f>SUM(M41:M49)</f>
        <v>0</v>
      </c>
      <c r="N50" s="103"/>
      <c r="O50" s="103" t="e">
        <f>SUM(O41:O49)</f>
        <v>#DIV/0!</v>
      </c>
      <c r="P50" s="103"/>
      <c r="Q50" s="103" t="e">
        <f>SUM(Q41:Q49)</f>
        <v>#DIV/0!</v>
      </c>
      <c r="R50" s="103"/>
      <c r="S50" s="103" t="e">
        <f>SUM(S41:S49)</f>
        <v>#DIV/0!</v>
      </c>
      <c r="T50" s="103"/>
      <c r="U50" s="103" t="e">
        <f>SUM(U41:U49)</f>
        <v>#DIV/0!</v>
      </c>
      <c r="V50" s="103"/>
      <c r="W50" s="103" t="e">
        <f>SUM(W41:W49)</f>
        <v>#DIV/0!</v>
      </c>
      <c r="X50" s="103"/>
      <c r="Y50" s="103" t="e">
        <f t="shared" ref="Y50:AG50" si="22">SUM(Y41:Y49)</f>
        <v>#DIV/0!</v>
      </c>
      <c r="Z50" s="103"/>
      <c r="AA50" s="103" t="e">
        <f t="shared" si="22"/>
        <v>#DIV/0!</v>
      </c>
      <c r="AB50" s="103"/>
      <c r="AC50" s="103" t="e">
        <f t="shared" si="22"/>
        <v>#DIV/0!</v>
      </c>
      <c r="AD50" s="103"/>
      <c r="AE50" s="103" t="e">
        <f t="shared" si="22"/>
        <v>#DIV/0!</v>
      </c>
      <c r="AF50" s="103"/>
      <c r="AG50" s="103" t="e">
        <f t="shared" si="22"/>
        <v>#DIV/0!</v>
      </c>
    </row>
    <row r="51" spans="1:33" ht="20.25" customHeight="1" x14ac:dyDescent="0.25">
      <c r="A51" s="419"/>
      <c r="B51" s="834" t="s">
        <v>190</v>
      </c>
      <c r="C51" s="834"/>
      <c r="D51" s="422"/>
      <c r="E51" s="423"/>
      <c r="F51" s="649">
        <f xml:space="preserve"> ROUND(IF(F50/E42&gt;0.1131,0.1131,F50/E42),4)</f>
        <v>0.11310000000000001</v>
      </c>
      <c r="G51" s="882" t="s">
        <v>831</v>
      </c>
      <c r="H51" s="882"/>
      <c r="I51" s="882"/>
      <c r="J51" s="882"/>
      <c r="K51" s="649">
        <f>ROUND(IF(K50/J42&gt;0.1131,0.1131,K50/J42),4)</f>
        <v>0.105</v>
      </c>
      <c r="L51" s="105"/>
      <c r="M51" s="105"/>
      <c r="N51" s="105"/>
      <c r="P51" s="104"/>
      <c r="R51" s="104"/>
    </row>
    <row r="52" spans="1:33" ht="20.25" customHeight="1" x14ac:dyDescent="0.25">
      <c r="B52" s="883" t="s">
        <v>832</v>
      </c>
      <c r="C52" s="883"/>
      <c r="D52" s="883"/>
      <c r="E52" s="883"/>
      <c r="F52" s="883"/>
      <c r="G52" s="883"/>
      <c r="H52" s="883"/>
      <c r="I52" s="883"/>
      <c r="J52" s="883"/>
      <c r="K52" s="883"/>
      <c r="L52" s="105"/>
      <c r="M52" s="105"/>
      <c r="N52" s="105"/>
      <c r="P52" s="104"/>
      <c r="R52" s="104"/>
    </row>
    <row r="53" spans="1:33" ht="20.25" customHeight="1" x14ac:dyDescent="0.25">
      <c r="T53" s="104"/>
    </row>
    <row r="54" spans="1:33" ht="20.25" customHeight="1" x14ac:dyDescent="0.25">
      <c r="A54" s="884" t="s">
        <v>143</v>
      </c>
      <c r="B54" s="884"/>
      <c r="C54" s="884"/>
      <c r="D54" s="884"/>
      <c r="E54" s="884"/>
      <c r="F54" s="884"/>
      <c r="G54" s="884"/>
      <c r="H54" s="884"/>
      <c r="I54" s="106"/>
      <c r="J54" s="106"/>
      <c r="K54" s="106"/>
    </row>
    <row r="55" spans="1:33" ht="20.25" customHeight="1" x14ac:dyDescent="0.25">
      <c r="A55" s="52"/>
      <c r="B55" s="52"/>
      <c r="C55" s="52"/>
      <c r="E55" s="52"/>
      <c r="F55" s="52"/>
      <c r="G55" s="52"/>
      <c r="H55" s="106"/>
      <c r="K55" s="108"/>
    </row>
    <row r="56" spans="1:33" s="109" customFormat="1" ht="48.75" customHeight="1" x14ac:dyDescent="0.2">
      <c r="A56" s="65" t="s">
        <v>284</v>
      </c>
      <c r="B56" s="65" t="s">
        <v>145</v>
      </c>
      <c r="C56" s="65" t="s">
        <v>833</v>
      </c>
      <c r="D56" s="65" t="s">
        <v>94</v>
      </c>
      <c r="E56" s="65" t="s">
        <v>786</v>
      </c>
      <c r="F56" s="65" t="s">
        <v>146</v>
      </c>
      <c r="G56" s="65" t="s">
        <v>376</v>
      </c>
      <c r="H56" s="111"/>
      <c r="I56" s="111"/>
      <c r="J56" s="111"/>
      <c r="N56" s="111"/>
      <c r="O56" s="111"/>
      <c r="P56" s="111"/>
      <c r="Q56" s="111"/>
      <c r="R56" s="111"/>
      <c r="S56" s="111"/>
      <c r="T56" s="111"/>
    </row>
    <row r="57" spans="1:33" s="109" customFormat="1" ht="32.25" customHeight="1" x14ac:dyDescent="0.2">
      <c r="A57" s="369"/>
      <c r="B57" s="371">
        <f>'BP VERSION JANVIER 2023'!J21</f>
        <v>2802.14</v>
      </c>
      <c r="C57" s="141">
        <f>A57+B57</f>
        <v>2802.14</v>
      </c>
      <c r="D57" s="142">
        <f>K51</f>
        <v>0.105</v>
      </c>
      <c r="E57" s="370">
        <f>IF(A57&gt;8037,0,IF(C57&gt;8037,8037-A57,B57))</f>
        <v>2802.14</v>
      </c>
      <c r="F57" s="370">
        <f>ROUND(E57*D57,2)</f>
        <v>294.22000000000003</v>
      </c>
      <c r="G57" s="370">
        <f>IF(C57&gt;8037,B57-E57,0)</f>
        <v>0</v>
      </c>
      <c r="H57" s="111"/>
      <c r="I57" s="154"/>
      <c r="J57" s="154"/>
      <c r="N57" s="111"/>
      <c r="O57" s="111"/>
      <c r="P57" s="111"/>
      <c r="Q57" s="111"/>
      <c r="R57" s="111"/>
      <c r="S57" s="111"/>
      <c r="T57" s="111"/>
    </row>
    <row r="58" spans="1:33" ht="9.75" hidden="1" customHeight="1" x14ac:dyDescent="0.25">
      <c r="A58" s="140"/>
      <c r="B58" s="141"/>
      <c r="C58" s="141"/>
      <c r="D58" s="140"/>
      <c r="E58" s="156"/>
      <c r="F58" s="141"/>
      <c r="G58" s="155"/>
      <c r="H58" s="155"/>
      <c r="I58" s="155"/>
      <c r="J58" s="155"/>
      <c r="L58" s="115"/>
      <c r="M58" s="116"/>
      <c r="N58" s="117"/>
      <c r="O58" s="111"/>
      <c r="P58" s="111"/>
      <c r="Q58" s="111"/>
      <c r="R58" s="115"/>
      <c r="S58" s="115"/>
      <c r="T58" s="115"/>
    </row>
    <row r="59" spans="1:33" ht="9.75" hidden="1" customHeight="1" x14ac:dyDescent="0.25">
      <c r="A59" s="110" t="s">
        <v>147</v>
      </c>
      <c r="B59" s="100">
        <f>+'[4]BP FEVRIER    '!J59+'[4]BP FEVRIER    '!J60+'[4]BP FEVRIER    '!J61+'[4]BP FEVRIER    '!J62+'[4]BP FEVRIER    '!J63</f>
        <v>0</v>
      </c>
      <c r="C59" s="110">
        <f>B59+B57</f>
        <v>2802.14</v>
      </c>
      <c r="D59" s="112" t="e">
        <f>IF(M50/B25&gt;0.1131,0.1131,M50/B25)</f>
        <v>#DIV/0!</v>
      </c>
      <c r="E59" s="113" t="e">
        <f>IF(C59&lt;5358,B59*D59,IF(C57&gt;5358,0,(5358-C57)*D59))</f>
        <v>#DIV/0!</v>
      </c>
      <c r="F59" s="113"/>
      <c r="G59" s="153"/>
      <c r="H59" s="153"/>
      <c r="I59" s="153"/>
      <c r="J59" s="153"/>
      <c r="K59" s="114">
        <f>IF(C59&lt;5358,B59,IF(C57&gt;5358,0,5358-C57))</f>
        <v>0</v>
      </c>
      <c r="L59" s="115"/>
      <c r="M59" s="116"/>
      <c r="N59" s="117"/>
      <c r="O59" s="111"/>
      <c r="P59" s="111"/>
      <c r="Q59" s="111"/>
      <c r="R59" s="115"/>
      <c r="S59" s="115"/>
      <c r="T59" s="115"/>
    </row>
    <row r="60" spans="1:33" ht="9.75" hidden="1" customHeight="1" x14ac:dyDescent="0.25">
      <c r="A60" s="110" t="s">
        <v>148</v>
      </c>
      <c r="B60" s="100" t="e">
        <f>+L91</f>
        <v>#DIV/0!</v>
      </c>
      <c r="C60" s="100" t="e">
        <f>C59+B60</f>
        <v>#DIV/0!</v>
      </c>
      <c r="D60" s="112" t="e">
        <f>IF(O50/B26&lt;0.1131,O50/B26,0.1131)</f>
        <v>#DIV/0!</v>
      </c>
      <c r="E60" s="113" t="e">
        <f>IF(C60&lt;5358,B60*D60,IF(C59&gt;5358,0,(5358-C59)*D60))</f>
        <v>#DIV/0!</v>
      </c>
      <c r="F60" s="113"/>
      <c r="G60" s="113"/>
      <c r="H60" s="113"/>
      <c r="I60" s="113"/>
      <c r="J60" s="113"/>
      <c r="K60" s="114" t="e">
        <f t="shared" ref="K60:K69" si="23">IF(C60&lt;5358,B60,IF(C59&gt;5358,0,5358-C59))</f>
        <v>#DIV/0!</v>
      </c>
      <c r="L60" s="115"/>
      <c r="M60" s="116"/>
      <c r="N60" s="117"/>
      <c r="O60" s="118"/>
      <c r="P60" s="118"/>
      <c r="Q60" s="118"/>
      <c r="R60" s="118"/>
      <c r="S60" s="118"/>
      <c r="T60" s="118"/>
    </row>
    <row r="61" spans="1:33" ht="9.75" hidden="1" customHeight="1" x14ac:dyDescent="0.25">
      <c r="A61" s="110" t="s">
        <v>149</v>
      </c>
      <c r="B61" s="100" t="e">
        <f>+M91</f>
        <v>#DIV/0!</v>
      </c>
      <c r="C61" s="100" t="e">
        <f>C60+B61</f>
        <v>#DIV/0!</v>
      </c>
      <c r="D61" s="112" t="e">
        <f>IF(Q50/B27&lt;0.1131,Q50/B27,0.1131)</f>
        <v>#DIV/0!</v>
      </c>
      <c r="E61" s="113" t="e">
        <f>IF(C61&lt;5358,B61*D61,IF(C60&gt;5358,0,(5358-C60)*D61))</f>
        <v>#DIV/0!</v>
      </c>
      <c r="F61" s="113"/>
      <c r="G61" s="113"/>
      <c r="H61" s="113"/>
      <c r="I61" s="113"/>
      <c r="J61" s="113"/>
      <c r="K61" s="114" t="e">
        <f t="shared" si="23"/>
        <v>#DIV/0!</v>
      </c>
      <c r="L61" s="115"/>
      <c r="M61" s="116"/>
      <c r="N61" s="117"/>
      <c r="O61" s="118"/>
      <c r="P61" s="118"/>
      <c r="Q61" s="118"/>
      <c r="R61" s="118"/>
      <c r="S61" s="118"/>
      <c r="T61" s="118"/>
      <c r="U61" s="2"/>
    </row>
    <row r="62" spans="1:33" ht="9.75" hidden="1" customHeight="1" x14ac:dyDescent="0.25">
      <c r="A62" s="110" t="s">
        <v>150</v>
      </c>
      <c r="B62" s="100" t="e">
        <f>+N91</f>
        <v>#DIV/0!</v>
      </c>
      <c r="C62" s="100" t="e">
        <f>C61+B62</f>
        <v>#DIV/0!</v>
      </c>
      <c r="D62" s="112" t="e">
        <f>IF(S50/B28&lt;0.1131,S50/B28,0.1131)</f>
        <v>#DIV/0!</v>
      </c>
      <c r="E62" s="113" t="e">
        <f>IF(C62&lt;5358,B62*D62,IF(C61&gt;5358,0,(5358-C61)*D62))</f>
        <v>#DIV/0!</v>
      </c>
      <c r="F62" s="113"/>
      <c r="G62" s="113"/>
      <c r="H62" s="113"/>
      <c r="I62" s="113"/>
      <c r="J62" s="113"/>
      <c r="K62" s="114" t="e">
        <f t="shared" si="23"/>
        <v>#DIV/0!</v>
      </c>
      <c r="L62" s="115"/>
      <c r="M62" s="116"/>
      <c r="N62" s="117"/>
      <c r="O62" s="118"/>
      <c r="P62" s="118"/>
      <c r="Q62" s="118"/>
      <c r="R62" s="118"/>
      <c r="S62" s="118"/>
      <c r="T62" s="118"/>
      <c r="U62" s="2"/>
    </row>
    <row r="63" spans="1:33" ht="9.75" hidden="1" customHeight="1" x14ac:dyDescent="0.25">
      <c r="A63" s="110" t="s">
        <v>139</v>
      </c>
      <c r="B63" s="100" t="e">
        <f>+O91</f>
        <v>#DIV/0!</v>
      </c>
      <c r="C63" s="100" t="e">
        <f>C62+B63</f>
        <v>#DIV/0!</v>
      </c>
      <c r="D63" s="112" t="e">
        <f>IF(U50/B29&lt;0.1131,U50/B29,0.1131)</f>
        <v>#DIV/0!</v>
      </c>
      <c r="E63" s="113" t="e">
        <f>IF(C63&lt;5358,B63*D63,IF(C62&gt;5358,0,(5358-C62)*D63))</f>
        <v>#DIV/0!</v>
      </c>
      <c r="F63" s="113"/>
      <c r="G63" s="113"/>
      <c r="H63" s="113"/>
      <c r="I63" s="113"/>
      <c r="J63" s="113"/>
      <c r="K63" s="114" t="e">
        <f t="shared" si="23"/>
        <v>#DIV/0!</v>
      </c>
      <c r="L63" s="115"/>
      <c r="M63" s="116"/>
      <c r="N63" s="117"/>
      <c r="O63" s="118"/>
      <c r="P63" s="118"/>
      <c r="Q63" s="118"/>
      <c r="R63" s="118"/>
      <c r="S63" s="118"/>
      <c r="T63" s="118"/>
      <c r="U63" s="2"/>
    </row>
    <row r="64" spans="1:33" ht="9.75" hidden="1" customHeight="1" x14ac:dyDescent="0.25">
      <c r="A64" s="110" t="s">
        <v>151</v>
      </c>
      <c r="B64" s="119" t="e">
        <f>'[4]BP JUILLET '!J59+'[4]BP JUILLET '!J60+'[4]BP JUILLET '!J61+'[4]BP JUILLET '!J62+'[4]BP JUILLET '!J63</f>
        <v>#DIV/0!</v>
      </c>
      <c r="C64" s="119" t="e">
        <f t="shared" ref="C64:C69" si="24">+B64+C63</f>
        <v>#DIV/0!</v>
      </c>
      <c r="D64" s="120" t="e">
        <f>+IF(W50/B30&gt;0.1131,0.1131,W50/B30)</f>
        <v>#DIV/0!</v>
      </c>
      <c r="E64" s="113" t="e">
        <f t="shared" ref="E64:E69" si="25">IF(C64&lt;5358,B64*D64,IF(C63&gt;5358,0,(5358-C63)*D64))</f>
        <v>#DIV/0!</v>
      </c>
      <c r="F64" s="113"/>
      <c r="G64" s="113"/>
      <c r="H64" s="113"/>
      <c r="I64" s="113"/>
      <c r="J64" s="113"/>
      <c r="K64" s="114" t="e">
        <f t="shared" si="23"/>
        <v>#DIV/0!</v>
      </c>
      <c r="L64" s="115"/>
      <c r="M64" s="116"/>
      <c r="N64" s="117"/>
      <c r="O64" s="118"/>
      <c r="P64" s="118"/>
      <c r="Q64" s="118"/>
      <c r="R64" s="118"/>
      <c r="S64" s="118"/>
      <c r="T64" s="118"/>
    </row>
    <row r="65" spans="1:20" ht="9.75" hidden="1" customHeight="1" x14ac:dyDescent="0.25">
      <c r="A65" s="110" t="s">
        <v>152</v>
      </c>
      <c r="B65" s="119" t="e">
        <f>Q91</f>
        <v>#DIV/0!</v>
      </c>
      <c r="C65" s="119" t="e">
        <f t="shared" si="24"/>
        <v>#DIV/0!</v>
      </c>
      <c r="D65" s="120" t="e">
        <f>+IF(Y50/B31&gt;0.1131,0.1131,Y50/B31)</f>
        <v>#DIV/0!</v>
      </c>
      <c r="E65" s="113" t="e">
        <f t="shared" si="25"/>
        <v>#DIV/0!</v>
      </c>
      <c r="F65" s="113"/>
      <c r="G65" s="113"/>
      <c r="H65" s="113"/>
      <c r="I65" s="113"/>
      <c r="J65" s="113"/>
      <c r="K65" s="114" t="e">
        <f t="shared" si="23"/>
        <v>#DIV/0!</v>
      </c>
      <c r="L65" s="115"/>
      <c r="M65" s="116"/>
      <c r="N65" s="117"/>
      <c r="O65" s="118"/>
      <c r="P65" s="118"/>
      <c r="Q65" s="118"/>
      <c r="R65" s="118"/>
      <c r="S65" s="118"/>
      <c r="T65" s="118"/>
    </row>
    <row r="66" spans="1:20" ht="9.75" hidden="1" customHeight="1" x14ac:dyDescent="0.25">
      <c r="A66" s="110" t="s">
        <v>153</v>
      </c>
      <c r="B66" s="119" t="e">
        <f>R91</f>
        <v>#DIV/0!</v>
      </c>
      <c r="C66" s="119" t="e">
        <f t="shared" si="24"/>
        <v>#DIV/0!</v>
      </c>
      <c r="D66" s="120" t="e">
        <f>+IF(AA50/B32&gt;0.1131,0.1131,AA50/E11)</f>
        <v>#DIV/0!</v>
      </c>
      <c r="E66" s="113" t="e">
        <f t="shared" si="25"/>
        <v>#DIV/0!</v>
      </c>
      <c r="F66" s="113"/>
      <c r="G66" s="113"/>
      <c r="H66" s="113"/>
      <c r="I66" s="113"/>
      <c r="J66" s="113"/>
      <c r="K66" s="114" t="e">
        <f t="shared" si="23"/>
        <v>#DIV/0!</v>
      </c>
      <c r="L66" s="115"/>
      <c r="M66" s="116"/>
      <c r="N66" s="117"/>
      <c r="O66" s="118"/>
      <c r="P66" s="118"/>
      <c r="Q66" s="118"/>
      <c r="R66" s="118"/>
      <c r="S66" s="118"/>
      <c r="T66" s="118"/>
    </row>
    <row r="67" spans="1:20" ht="9.75" hidden="1" customHeight="1" x14ac:dyDescent="0.25">
      <c r="A67" s="110" t="s">
        <v>154</v>
      </c>
      <c r="B67" s="119" t="e">
        <f>S91</f>
        <v>#DIV/0!</v>
      </c>
      <c r="C67" s="119" t="e">
        <f t="shared" si="24"/>
        <v>#DIV/0!</v>
      </c>
      <c r="D67" s="120" t="e">
        <f>+IF(AC50/B33&gt;0.1131,0.1131,AC50/EG2)</f>
        <v>#DIV/0!</v>
      </c>
      <c r="E67" s="113" t="e">
        <f t="shared" si="25"/>
        <v>#DIV/0!</v>
      </c>
      <c r="F67" s="113"/>
      <c r="G67" s="113"/>
      <c r="H67" s="113"/>
      <c r="I67" s="113"/>
      <c r="J67" s="113"/>
      <c r="K67" s="114" t="e">
        <f t="shared" si="23"/>
        <v>#DIV/0!</v>
      </c>
      <c r="L67" s="115"/>
      <c r="M67" s="116"/>
      <c r="N67" s="117"/>
      <c r="O67" s="118"/>
      <c r="P67" s="118"/>
      <c r="Q67" s="118"/>
      <c r="R67" s="118"/>
      <c r="S67" s="118"/>
      <c r="T67" s="118"/>
    </row>
    <row r="68" spans="1:20" ht="9.75" hidden="1" customHeight="1" x14ac:dyDescent="0.25">
      <c r="A68" s="110" t="s">
        <v>155</v>
      </c>
      <c r="B68" s="119" t="e">
        <f>T91</f>
        <v>#DIV/0!</v>
      </c>
      <c r="C68" s="119" t="e">
        <f t="shared" si="24"/>
        <v>#DIV/0!</v>
      </c>
      <c r="D68" s="120" t="e">
        <f>+IF(AE50/B34&gt;0.1131,0.1131,AE50/B34)</f>
        <v>#DIV/0!</v>
      </c>
      <c r="E68" s="113" t="e">
        <f t="shared" si="25"/>
        <v>#DIV/0!</v>
      </c>
      <c r="F68" s="113"/>
      <c r="G68" s="113"/>
      <c r="H68" s="113"/>
      <c r="I68" s="113"/>
      <c r="J68" s="113"/>
      <c r="K68" s="114" t="e">
        <f t="shared" si="23"/>
        <v>#DIV/0!</v>
      </c>
      <c r="L68" s="115"/>
      <c r="M68" s="116"/>
      <c r="N68" s="117"/>
      <c r="O68" s="118"/>
      <c r="P68" s="118"/>
      <c r="Q68" s="118"/>
      <c r="R68" s="118"/>
      <c r="S68" s="118"/>
      <c r="T68" s="118"/>
    </row>
    <row r="69" spans="1:20" ht="9.75" hidden="1" customHeight="1" x14ac:dyDescent="0.25">
      <c r="A69" s="110" t="s">
        <v>156</v>
      </c>
      <c r="B69" s="119" t="e">
        <f>U91</f>
        <v>#DIV/0!</v>
      </c>
      <c r="C69" s="119" t="e">
        <f t="shared" si="24"/>
        <v>#DIV/0!</v>
      </c>
      <c r="D69" s="120" t="e">
        <f>+IF(AG50/B35&gt;0.1131,0.1131,AG50/B35)</f>
        <v>#DIV/0!</v>
      </c>
      <c r="E69" s="113" t="e">
        <f t="shared" si="25"/>
        <v>#DIV/0!</v>
      </c>
      <c r="F69" s="113"/>
      <c r="G69" s="113"/>
      <c r="H69" s="113"/>
      <c r="I69" s="113"/>
      <c r="J69" s="113"/>
      <c r="K69" s="114" t="e">
        <f t="shared" si="23"/>
        <v>#DIV/0!</v>
      </c>
      <c r="L69" s="115"/>
      <c r="M69" s="116"/>
      <c r="N69" s="117"/>
      <c r="O69" s="118"/>
      <c r="P69" s="118"/>
      <c r="Q69" s="118"/>
      <c r="R69" s="118"/>
      <c r="S69" s="118"/>
      <c r="T69" s="118"/>
    </row>
    <row r="70" spans="1:20" ht="9.75" hidden="1" customHeight="1" x14ac:dyDescent="0.25">
      <c r="A70" s="45"/>
      <c r="B70" s="2"/>
      <c r="C70" s="2"/>
      <c r="D70" s="121" t="e">
        <f>+IF(AE53/E15&gt;0.1131,0.1131,AE53/E15)</f>
        <v>#DIV/0!</v>
      </c>
      <c r="M70" s="122" t="e">
        <f t="shared" ref="M70:M80" si="26">+K70-K69</f>
        <v>#DIV/0!</v>
      </c>
      <c r="Q70" s="123"/>
      <c r="R70" s="124">
        <f t="shared" ref="R70:R80" si="27">IF(C70&lt;5358,C70*0.9825,5358*0.9825)</f>
        <v>0</v>
      </c>
    </row>
    <row r="71" spans="1:20" ht="9.75" hidden="1" customHeight="1" x14ac:dyDescent="0.25">
      <c r="A71" s="45"/>
      <c r="B71" s="2"/>
      <c r="C71" s="2"/>
      <c r="D71" s="57" t="e">
        <f>+IF(AE54/E16&gt;0.1131,0.1131,AE54/E16)</f>
        <v>#DIV/0!</v>
      </c>
      <c r="M71" s="125">
        <f t="shared" si="26"/>
        <v>0</v>
      </c>
      <c r="Q71" s="126"/>
      <c r="R71" s="124">
        <f t="shared" si="27"/>
        <v>0</v>
      </c>
    </row>
    <row r="72" spans="1:20" ht="9.75" hidden="1" customHeight="1" x14ac:dyDescent="0.25">
      <c r="A72" s="106"/>
      <c r="B72" s="2"/>
      <c r="C72" s="2"/>
      <c r="D72" s="57" t="e">
        <f>+IF(#REF!/E17&gt;0.1131,0.1131,#REF!/E17)</f>
        <v>#REF!</v>
      </c>
      <c r="M72" s="125">
        <f t="shared" si="26"/>
        <v>0</v>
      </c>
      <c r="Q72" s="127"/>
      <c r="R72" s="124">
        <f t="shared" si="27"/>
        <v>0</v>
      </c>
    </row>
    <row r="73" spans="1:20" ht="9.75" hidden="1" customHeight="1" x14ac:dyDescent="0.25">
      <c r="A73" s="106"/>
      <c r="B73" s="2"/>
      <c r="C73" s="2"/>
      <c r="D73" s="57" t="e">
        <f>+IF(AE55/E18&gt;0.1131,0.1131,AE55/E18)</f>
        <v>#DIV/0!</v>
      </c>
      <c r="M73" s="125">
        <f t="shared" si="26"/>
        <v>0</v>
      </c>
      <c r="Q73" s="127"/>
      <c r="R73" s="124">
        <f t="shared" si="27"/>
        <v>0</v>
      </c>
    </row>
    <row r="74" spans="1:20" ht="9.75" hidden="1" customHeight="1" x14ac:dyDescent="0.25">
      <c r="A74" s="106"/>
      <c r="B74" s="2"/>
      <c r="C74" s="2"/>
      <c r="D74" s="57" t="e">
        <f>+IF(AE56/E19&gt;0.1131,0.1131,AE56/E19)</f>
        <v>#DIV/0!</v>
      </c>
      <c r="M74" s="125">
        <f t="shared" si="26"/>
        <v>0</v>
      </c>
      <c r="Q74" s="127"/>
      <c r="R74" s="124">
        <f t="shared" si="27"/>
        <v>0</v>
      </c>
    </row>
    <row r="75" spans="1:20" ht="9.75" hidden="1" customHeight="1" x14ac:dyDescent="0.25">
      <c r="A75" s="106"/>
      <c r="B75" s="2"/>
      <c r="C75" s="2"/>
      <c r="D75" s="57" t="e">
        <f t="shared" ref="D75:D80" si="28">+IF(AE58/E21&gt;0.1131,0.1131,AE58/E21)</f>
        <v>#DIV/0!</v>
      </c>
      <c r="M75" s="125">
        <f t="shared" si="26"/>
        <v>0</v>
      </c>
      <c r="Q75" s="127"/>
      <c r="R75" s="124">
        <f t="shared" si="27"/>
        <v>0</v>
      </c>
    </row>
    <row r="76" spans="1:20" ht="9.75" hidden="1" customHeight="1" x14ac:dyDescent="0.25">
      <c r="A76" s="106"/>
      <c r="B76" s="2"/>
      <c r="C76" s="2"/>
      <c r="D76" s="57" t="e">
        <f t="shared" si="28"/>
        <v>#VALUE!</v>
      </c>
      <c r="M76" s="125">
        <f t="shared" si="26"/>
        <v>0</v>
      </c>
      <c r="Q76" s="127"/>
      <c r="R76" s="124">
        <f t="shared" si="27"/>
        <v>0</v>
      </c>
    </row>
    <row r="77" spans="1:20" ht="9.75" hidden="1" customHeight="1" x14ac:dyDescent="0.25">
      <c r="A77" s="106"/>
      <c r="B77" s="2"/>
      <c r="C77" s="2"/>
      <c r="D77" s="57" t="e">
        <f t="shared" si="28"/>
        <v>#VALUE!</v>
      </c>
      <c r="M77" s="125">
        <f t="shared" si="26"/>
        <v>0</v>
      </c>
      <c r="Q77" s="127"/>
      <c r="R77" s="124">
        <f t="shared" si="27"/>
        <v>0</v>
      </c>
    </row>
    <row r="78" spans="1:20" ht="9.75" hidden="1" customHeight="1" x14ac:dyDescent="0.25">
      <c r="A78" s="106"/>
      <c r="B78" s="2"/>
      <c r="C78" s="2"/>
      <c r="D78" s="57">
        <f t="shared" si="28"/>
        <v>0</v>
      </c>
      <c r="M78" s="125">
        <f t="shared" si="26"/>
        <v>0</v>
      </c>
      <c r="Q78" s="127"/>
      <c r="R78" s="124">
        <f t="shared" si="27"/>
        <v>0</v>
      </c>
    </row>
    <row r="79" spans="1:20" ht="9.75" hidden="1" customHeight="1" x14ac:dyDescent="0.25">
      <c r="A79" s="106"/>
      <c r="B79" s="2"/>
      <c r="C79" s="2"/>
      <c r="D79" s="57">
        <f t="shared" si="28"/>
        <v>0</v>
      </c>
      <c r="M79" s="125">
        <f t="shared" si="26"/>
        <v>0</v>
      </c>
      <c r="Q79" s="127"/>
      <c r="R79" s="124">
        <f t="shared" si="27"/>
        <v>0</v>
      </c>
    </row>
    <row r="80" spans="1:20" ht="9.75" hidden="1" customHeight="1" x14ac:dyDescent="0.25">
      <c r="A80" s="106"/>
      <c r="D80" s="57" t="e">
        <f t="shared" si="28"/>
        <v>#DIV/0!</v>
      </c>
      <c r="M80" s="125">
        <f t="shared" si="26"/>
        <v>0</v>
      </c>
      <c r="R80" s="124">
        <f t="shared" si="27"/>
        <v>0</v>
      </c>
    </row>
    <row r="81" spans="1:21" ht="9.75" hidden="1" customHeight="1" x14ac:dyDescent="0.25">
      <c r="A81" s="106"/>
      <c r="M81" s="128"/>
      <c r="R81" s="129"/>
    </row>
    <row r="82" spans="1:21" ht="20.25" customHeight="1" x14ac:dyDescent="0.25">
      <c r="A82" s="885" t="s">
        <v>834</v>
      </c>
      <c r="B82" s="885"/>
      <c r="C82" s="885"/>
      <c r="M82" s="128"/>
      <c r="R82" s="129"/>
    </row>
    <row r="83" spans="1:21" ht="20.25" customHeight="1" x14ac:dyDescent="0.25">
      <c r="A83" s="106"/>
      <c r="E83" s="149"/>
    </row>
    <row r="84" spans="1:21" ht="27" customHeight="1" x14ac:dyDescent="0.25">
      <c r="A84" s="601"/>
      <c r="B84" s="601"/>
      <c r="C84" s="601"/>
      <c r="D84" s="601"/>
      <c r="E84" s="601"/>
      <c r="F84" s="601"/>
      <c r="G84" s="107"/>
      <c r="H84" s="107"/>
      <c r="I84" s="107"/>
      <c r="J84" s="107"/>
      <c r="K84" s="107"/>
      <c r="L84" s="143" t="s">
        <v>148</v>
      </c>
      <c r="M84" s="130" t="s">
        <v>149</v>
      </c>
      <c r="N84" s="130" t="s">
        <v>138</v>
      </c>
      <c r="O84" s="130" t="s">
        <v>139</v>
      </c>
      <c r="P84" s="130" t="s">
        <v>140</v>
      </c>
      <c r="Q84" s="130" t="s">
        <v>152</v>
      </c>
      <c r="R84" s="130" t="s">
        <v>153</v>
      </c>
      <c r="S84" s="130" t="s">
        <v>154</v>
      </c>
      <c r="T84" s="130" t="s">
        <v>155</v>
      </c>
      <c r="U84" s="130" t="s">
        <v>156</v>
      </c>
    </row>
    <row r="85" spans="1:21" ht="20.25" customHeight="1" x14ac:dyDescent="0.25">
      <c r="A85" s="742" t="s">
        <v>157</v>
      </c>
      <c r="B85" s="742"/>
      <c r="C85" s="742"/>
      <c r="D85" s="742"/>
      <c r="E85" s="650">
        <f>'BP VERSION JANVIER 2023'!J13</f>
        <v>17000</v>
      </c>
      <c r="F85" s="602"/>
      <c r="G85" s="145"/>
      <c r="H85" s="145"/>
      <c r="I85" s="145"/>
      <c r="J85" s="145"/>
      <c r="K85" s="145"/>
      <c r="L85" s="144" t="e">
        <f>'[4]BP MARS   '!J74-'[4]BP MARS   '!J59-'[4]BP MARS   '!J60-'[4]BP MARS   '!J61-'[4]BP MARS   '!J62-'[4]BP MARS   '!J63-'[4]HEURES SUPPLEMENTAIRES '!G83</f>
        <v>#DIV/0!</v>
      </c>
      <c r="M85" s="131" t="e">
        <f>'[4]BP AVRIL    '!J74-M88-'[4]BP AVRIL    '!J59-'[4]BP AVRIL    '!J60-'[4]BP AVRIL    '!J61-'[4]BP AVRIL    '!J62-'[4]BP AVRIL    '!J63</f>
        <v>#DIV/0!</v>
      </c>
      <c r="N85" s="131" t="e">
        <f>'[4]BP MAI     '!J74-'[4]BP MAI     '!J59-'[4]BP MAI     '!J60-'[4]BP MAI     '!J61-'[4]BP MAI     '!J62-'[4]BP MAI     '!J63-N88</f>
        <v>#DIV/0!</v>
      </c>
      <c r="O85" s="119" t="e">
        <f>'[4]BP  JUIN '!J74-'[4]HEURES SUPPLEMENTAIRES '!J83-'[4]HEURES SUPPLEMENTAIRES '!J85</f>
        <v>#DIV/0!</v>
      </c>
      <c r="P85" s="119" t="e">
        <f>'[4]BP JUILLET '!J74-'[4]BP JUILLET '!J59-'[4]BP JUILLET '!J60-'[4]BP JUILLET '!J61-'[4]BP JUILLET '!J62-'[4]BP JUILLET '!J63-'[4]BP JUILLET '!J55-'[4]BP JUILLET '!J56-'[4]BP JUILLET '!J57-'[4]BP JUILLET '!J58-'[4]BP JUILLET '!J17</f>
        <v>#DIV/0!</v>
      </c>
      <c r="Q85" s="119" t="e">
        <f>'[4]BP AOUT '!J74-'[4]BP AOUT '!J63-'[4]BP AOUT '!J62-'[4]BP AOUT '!J61-'[4]BP AOUT '!J60-'[4]BP AOUT '!J59-'[4]HEURES SUPPLEMENTAIRES '!L83</f>
        <v>#DIV/0!</v>
      </c>
      <c r="R85" s="119" t="e">
        <f>'[4]BP SEPTEMBRE '!J74-'[4]BP SEPTEMBRE '!J63-'[4]BP SEPTEMBRE '!J62-'[4]BP SEPTEMBRE '!J61-'[4]BP SEPTEMBRE '!J60-'[4]BP SEPTEMBRE '!J59-'[4]HEURES SUPPLEMENTAIRES '!M83</f>
        <v>#DIV/0!</v>
      </c>
      <c r="S85" s="119" t="e">
        <f>'[4]BP OCTOBRE '!J74-'[4]BP OCTOBRE '!J63-'[4]BP OCTOBRE '!J62-'[4]BP OCTOBRE '!J61-'[4]BP OCTOBRE '!J60-'[4]BP OCTOBRE '!J59-'[4]HEURES SUPPLEMENTAIRES '!N83</f>
        <v>#DIV/0!</v>
      </c>
      <c r="T85" s="119" t="e">
        <f>'[4]BP NOVEMBRE '!J74-'[4]BP NOVEMBRE '!J63-'[4]BP NOVEMBRE '!J62-'[4]BP NOVEMBRE '!J61-'[4]BP NOVEMBRE '!J60-'[4]BP NOVEMBRE '!J59-'[4]HEURES SUPPLEMENTAIRES '!O83</f>
        <v>#DIV/0!</v>
      </c>
      <c r="U85" s="119" t="e">
        <f>'[4]BP DECEMBRE '!J74-'[4]BP DECEMBRE '!J63-'[4]BP DECEMBRE '!J62-'[4]BP DECEMBRE '!J61-'[4]BP DECEMBRE '!J60-'[4]BP DECEMBRE '!J59-'[4]HEURES SUPPLEMENTAIRES '!P83</f>
        <v>#DIV/0!</v>
      </c>
    </row>
    <row r="86" spans="1:21" ht="20.25" customHeight="1" x14ac:dyDescent="0.25">
      <c r="A86" s="742" t="s">
        <v>835</v>
      </c>
      <c r="B86" s="742"/>
      <c r="C86" s="742"/>
      <c r="D86" s="742"/>
      <c r="E86" s="650"/>
      <c r="F86" s="602"/>
      <c r="G86" s="145"/>
      <c r="H86" s="145"/>
      <c r="I86" s="145"/>
      <c r="J86" s="145"/>
      <c r="K86" s="145"/>
      <c r="L86" s="144"/>
      <c r="M86" s="131"/>
      <c r="N86" s="131"/>
      <c r="O86" s="119"/>
      <c r="P86" s="119"/>
      <c r="Q86" s="119"/>
      <c r="R86" s="119"/>
      <c r="S86" s="119"/>
      <c r="T86" s="119"/>
      <c r="U86" s="119"/>
    </row>
    <row r="87" spans="1:21" ht="20.25" customHeight="1" x14ac:dyDescent="0.25">
      <c r="A87" s="886" t="s">
        <v>363</v>
      </c>
      <c r="B87" s="886"/>
      <c r="C87" s="886"/>
      <c r="D87" s="886"/>
      <c r="E87" s="650"/>
      <c r="F87" s="602"/>
      <c r="G87" s="145"/>
      <c r="H87" s="145"/>
      <c r="I87" s="145"/>
      <c r="J87" s="145"/>
      <c r="K87" s="145"/>
      <c r="L87" s="144"/>
      <c r="M87" s="131"/>
      <c r="N87" s="131"/>
      <c r="O87" s="119"/>
      <c r="P87" s="119"/>
      <c r="Q87" s="119"/>
      <c r="R87" s="119"/>
      <c r="S87" s="119"/>
      <c r="T87" s="119"/>
      <c r="U87" s="119"/>
    </row>
    <row r="88" spans="1:21" ht="20.25" customHeight="1" x14ac:dyDescent="0.25">
      <c r="A88" s="742" t="s">
        <v>19</v>
      </c>
      <c r="B88" s="742"/>
      <c r="C88" s="742"/>
      <c r="D88" s="742"/>
      <c r="E88" s="650"/>
      <c r="F88" s="602"/>
      <c r="G88" s="145"/>
      <c r="H88" s="145"/>
      <c r="I88" s="145"/>
      <c r="J88" s="145"/>
      <c r="K88" s="145"/>
      <c r="L88" s="144">
        <f>+'[4]BP MARS   '!J17+'[4]BP MARS   '!J55+'[4]BP MARS   '!J56+'[4]BP MARS   '!J57+'[4]BP MARS   '!J58</f>
        <v>0</v>
      </c>
      <c r="M88" s="131">
        <f>'[4]BP AVRIL    '!J17+'[4]BP AVRIL    '!J55+'[4]BP AVRIL    '!J56+'[4]BP AVRIL    '!J57+'[4]BP AVRIL    '!J58</f>
        <v>0</v>
      </c>
      <c r="N88" s="131">
        <f>'[4]BP MAI     '!J58+'[4]BP MAI     '!J57+'[4]BP MAI     '!J56+'[4]BP MAI     '!J55+'[4]BP MAI     '!J17</f>
        <v>0</v>
      </c>
      <c r="O88" s="119">
        <f>'[4]BP  JUIN '!J17+'[4]BP  JUIN '!J55+'[4]BP  JUIN '!J56+'[4]BP  JUIN '!J57+'[4]BP  JUIN '!J58</f>
        <v>0</v>
      </c>
      <c r="P88" s="119">
        <f>'[4]BP JUILLET '!J17+'[4]BP JUILLET '!J55+'[4]BP JUILLET '!J56+'[4]BP JUILLET '!J57+'[4]BP JUILLET '!J58</f>
        <v>0</v>
      </c>
      <c r="Q88" s="119">
        <f>'[4]BP AOUT '!J17+'[4]BP AOUT '!J55+'[4]BP AOUT '!J56+'[4]BP AOUT '!J57+'[4]BP AOUT '!J58</f>
        <v>0</v>
      </c>
      <c r="R88" s="119">
        <f>'[4]BP SEPTEMBRE '!J17+'[4]BP SEPTEMBRE '!J55+'[4]BP SEPTEMBRE '!J56+'[4]BP SEPTEMBRE '!J57+'[4]BP SEPTEMBRE '!J58</f>
        <v>0</v>
      </c>
      <c r="S88" s="119">
        <f>'[4]BP OCTOBRE '!J17+'[4]BP OCTOBRE '!J55+'[4]BP OCTOBRE '!J56+'[4]BP OCTOBRE '!J57+'[4]BP OCTOBRE '!J58</f>
        <v>0</v>
      </c>
      <c r="T88" s="119">
        <f>'[4]BP NOVEMBRE '!J17+'[4]BP NOVEMBRE '!J55+'[4]BP NOVEMBRE '!J56+'[4]BP NOVEMBRE '!J57+'[4]BP NOVEMBRE '!J58</f>
        <v>0</v>
      </c>
      <c r="U88" s="119">
        <f>'[4]BP DECEMBRE '!J17+'[4]BP DECEMBRE '!J55+'[4]BP DECEMBRE '!J56+'[4]BP DECEMBRE '!J57+'[4]BP DECEMBRE '!J58</f>
        <v>0</v>
      </c>
    </row>
    <row r="89" spans="1:21" ht="20.25" customHeight="1" x14ac:dyDescent="0.25">
      <c r="A89" s="742" t="s">
        <v>377</v>
      </c>
      <c r="B89" s="742"/>
      <c r="C89" s="742"/>
      <c r="D89" s="742"/>
      <c r="E89" s="650"/>
      <c r="F89" s="602"/>
      <c r="G89" s="145"/>
      <c r="H89" s="145"/>
      <c r="I89" s="145"/>
      <c r="J89" s="145"/>
      <c r="K89" s="145"/>
      <c r="L89" s="144"/>
      <c r="M89" s="131"/>
      <c r="N89" s="131"/>
      <c r="O89" s="119"/>
      <c r="P89" s="119"/>
      <c r="Q89" s="119"/>
      <c r="R89" s="119"/>
      <c r="S89" s="119"/>
      <c r="T89" s="119"/>
      <c r="U89" s="119"/>
    </row>
    <row r="90" spans="1:21" ht="20.25" customHeight="1" x14ac:dyDescent="0.25">
      <c r="A90" s="742" t="s">
        <v>283</v>
      </c>
      <c r="B90" s="742"/>
      <c r="C90" s="742"/>
      <c r="D90" s="742"/>
      <c r="E90" s="650"/>
      <c r="F90" s="602"/>
      <c r="G90" s="145"/>
      <c r="H90" s="145"/>
      <c r="I90" s="145"/>
      <c r="J90" s="145"/>
      <c r="K90" s="145"/>
      <c r="L90" s="144">
        <f t="shared" ref="L90:U90" si="29">L88+K90</f>
        <v>0</v>
      </c>
      <c r="M90" s="131">
        <f t="shared" si="29"/>
        <v>0</v>
      </c>
      <c r="N90" s="131">
        <f t="shared" si="29"/>
        <v>0</v>
      </c>
      <c r="O90" s="131">
        <f t="shared" si="29"/>
        <v>0</v>
      </c>
      <c r="P90" s="131">
        <f t="shared" si="29"/>
        <v>0</v>
      </c>
      <c r="Q90" s="131">
        <f t="shared" si="29"/>
        <v>0</v>
      </c>
      <c r="R90" s="131">
        <f t="shared" si="29"/>
        <v>0</v>
      </c>
      <c r="S90" s="131">
        <f t="shared" si="29"/>
        <v>0</v>
      </c>
      <c r="T90" s="131">
        <f t="shared" si="29"/>
        <v>0</v>
      </c>
      <c r="U90" s="131">
        <f t="shared" si="29"/>
        <v>0</v>
      </c>
    </row>
    <row r="91" spans="1:21" ht="24" customHeight="1" x14ac:dyDescent="0.25">
      <c r="A91" s="742" t="s">
        <v>158</v>
      </c>
      <c r="B91" s="742"/>
      <c r="C91" s="742"/>
      <c r="D91" s="742"/>
      <c r="E91" s="650">
        <f>'BP VERSION JANVIER 2023'!J21</f>
        <v>2802.14</v>
      </c>
      <c r="F91" s="602"/>
      <c r="G91" s="145"/>
      <c r="H91" s="145"/>
      <c r="I91" s="145"/>
      <c r="J91" s="145"/>
      <c r="K91" s="145"/>
      <c r="L91" s="144" t="e">
        <f>+'[4]BP MARS   '!J59+'[4]BP MARS   '!J60+'[4]BP MARS   '!J61+'[4]BP MARS   '!J62+'[4]BP MARS   '!J63</f>
        <v>#DIV/0!</v>
      </c>
      <c r="M91" s="131" t="e">
        <f>+'[4]BP AVRIL    '!J59+'[4]BP AVRIL    '!J60+'[4]BP AVRIL    '!J61+'[4]BP AVRIL    '!J62+'[4]BP AVRIL    '!J63</f>
        <v>#DIV/0!</v>
      </c>
      <c r="N91" s="131" t="e">
        <f>+'[4]BP MAI     '!J59+'[4]BP MAI     '!J60+'[4]BP MAI     '!J61+'[4]BP MAI     '!J62+'[4]BP MAI     '!J63</f>
        <v>#DIV/0!</v>
      </c>
      <c r="O91" s="119" t="e">
        <f>'[4]BP  JUIN '!J59+'[4]BP  JUIN '!J60+'[4]BP  JUIN '!J61+'[4]BP  JUIN '!J62+'[4]BP  JUIN '!J63</f>
        <v>#DIV/0!</v>
      </c>
      <c r="P91" s="119" t="e">
        <f>'[4]BP JUILLET '!J59+'[4]BP JUILLET '!J60+'[4]BP JUILLET '!J61+'[4]BP JUILLET '!J62+'[4]BP JUILLET '!J63</f>
        <v>#DIV/0!</v>
      </c>
      <c r="Q91" s="119" t="e">
        <f>'[4]BP AOUT '!J59+'[4]BP AOUT '!J60+'[4]BP AOUT '!J61+'[4]BP AOUT '!J62+'[4]BP AOUT '!J63</f>
        <v>#DIV/0!</v>
      </c>
      <c r="R91" s="119" t="e">
        <f>'[4]BP SEPTEMBRE '!J59+'[4]BP SEPTEMBRE '!J60+'[4]BP SEPTEMBRE '!J61+'[4]BP SEPTEMBRE '!J62+'[4]BP SEPTEMBRE '!J63</f>
        <v>#DIV/0!</v>
      </c>
      <c r="S91" s="119" t="e">
        <f>'[4]BP OCTOBRE '!J59+'[4]BP OCTOBRE '!J60+'[4]BP OCTOBRE '!J61+'[4]BP OCTOBRE '!J62+'[4]BP OCTOBRE '!J63</f>
        <v>#DIV/0!</v>
      </c>
      <c r="T91" s="119" t="e">
        <f>'[4]BP NOVEMBRE '!J59+'[4]BP NOVEMBRE '!J60+'[4]BP NOVEMBRE '!J61+'[4]BP NOVEMBRE '!J62+'[4]BP NOVEMBRE '!J63</f>
        <v>#DIV/0!</v>
      </c>
      <c r="U91" s="119" t="e">
        <f>'[4]BP DECEMBRE '!J59+'[4]BP DECEMBRE '!J60+'[4]BP DECEMBRE '!J61+'[4]BP DECEMBRE '!J62+'[4]BP DECEMBRE '!J63</f>
        <v>#DIV/0!</v>
      </c>
    </row>
    <row r="92" spans="1:21" ht="24" customHeight="1" x14ac:dyDescent="0.25">
      <c r="A92" s="887" t="s">
        <v>379</v>
      </c>
      <c r="B92" s="887"/>
      <c r="C92" s="887"/>
      <c r="D92" s="887"/>
      <c r="E92" s="650">
        <f>'[5]TRAME DU BP 2'!F65</f>
        <v>1191.18</v>
      </c>
      <c r="F92" s="602"/>
      <c r="G92" s="145"/>
      <c r="H92" s="145"/>
      <c r="I92" s="145"/>
      <c r="J92" s="145"/>
      <c r="K92" s="145"/>
      <c r="L92" s="144" t="e">
        <f>'[4]BP MARS   '!F105</f>
        <v>#DIV/0!</v>
      </c>
      <c r="M92" s="131" t="e">
        <f>'[4]BP AVRIL    '!F105</f>
        <v>#DIV/0!</v>
      </c>
      <c r="N92" s="131" t="e">
        <f>'[4]BP MAI     '!F105</f>
        <v>#DIV/0!</v>
      </c>
      <c r="O92" s="119" t="e">
        <f>+'[4]BP  JUIN '!F105</f>
        <v>#DIV/0!</v>
      </c>
      <c r="P92" s="119" t="e">
        <f>'[4]BP JUILLET '!F105</f>
        <v>#DIV/0!</v>
      </c>
      <c r="Q92" s="119" t="e">
        <f>'[4]BP AOUT '!F105</f>
        <v>#DIV/0!</v>
      </c>
      <c r="R92" s="119" t="e">
        <f>'[4]BP SEPTEMBRE '!F105</f>
        <v>#DIV/0!</v>
      </c>
      <c r="S92" s="119" t="e">
        <f>'[4]BP OCTOBRE '!F105</f>
        <v>#DIV/0!</v>
      </c>
      <c r="T92" s="119" t="e">
        <f>'[4]BP NOVEMBRE '!F105</f>
        <v>#DIV/0!</v>
      </c>
      <c r="U92" s="119" t="e">
        <f>'[4]BP DECEMBRE '!F105</f>
        <v>#DIV/0!</v>
      </c>
    </row>
    <row r="93" spans="1:21" ht="24" customHeight="1" x14ac:dyDescent="0.25">
      <c r="A93" s="887" t="s">
        <v>159</v>
      </c>
      <c r="B93" s="887"/>
      <c r="C93" s="887"/>
      <c r="D93" s="887"/>
      <c r="E93" s="650">
        <f>'[5]TRAME DU BP 2'!F66</f>
        <v>508</v>
      </c>
      <c r="F93" s="602"/>
      <c r="G93" s="145"/>
      <c r="H93" s="145"/>
      <c r="I93" s="145"/>
      <c r="J93" s="145"/>
      <c r="K93" s="145"/>
      <c r="L93" s="144" t="e">
        <f>'[4]BP MARS   '!F106</f>
        <v>#DIV/0!</v>
      </c>
      <c r="M93" s="131" t="e">
        <f>'[4]BP AVRIL    '!F106</f>
        <v>#DIV/0!</v>
      </c>
      <c r="N93" s="131" t="e">
        <f>'[4]BP MAI     '!F106</f>
        <v>#DIV/0!</v>
      </c>
      <c r="O93" s="119" t="e">
        <f>+'[4]BP  JUIN '!F106</f>
        <v>#DIV/0!</v>
      </c>
      <c r="P93" s="119" t="e">
        <f>'[4]BP JUILLET '!F106</f>
        <v>#DIV/0!</v>
      </c>
      <c r="Q93" s="119" t="e">
        <f>'[4]BP AOUT '!F106</f>
        <v>#DIV/0!</v>
      </c>
      <c r="R93" s="119" t="e">
        <f>'[4]BP SEPTEMBRE '!F106</f>
        <v>#DIV/0!</v>
      </c>
      <c r="S93" s="119" t="e">
        <f>'[4]BP OCTOBRE '!F106</f>
        <v>#DIV/0!</v>
      </c>
      <c r="T93" s="119" t="e">
        <f>'[4]BP NOVEMBRE '!F106</f>
        <v>#DIV/0!</v>
      </c>
      <c r="U93" s="119" t="e">
        <f>'[4]BP DECEMBRE '!F106</f>
        <v>#DIV/0!</v>
      </c>
    </row>
    <row r="94" spans="1:21" ht="24" customHeight="1" x14ac:dyDescent="0.25">
      <c r="A94" s="887" t="s">
        <v>160</v>
      </c>
      <c r="B94" s="887"/>
      <c r="C94" s="887"/>
      <c r="D94" s="887"/>
      <c r="E94" s="650">
        <f>'[5]TRAME DU BP 2'!F67</f>
        <v>190.55</v>
      </c>
      <c r="F94" s="602"/>
      <c r="G94" s="145"/>
      <c r="H94" s="145"/>
      <c r="I94" s="145"/>
      <c r="J94" s="145"/>
      <c r="K94" s="145"/>
      <c r="L94" s="144" t="e">
        <f>'[4]BP MARS   '!F107</f>
        <v>#DIV/0!</v>
      </c>
      <c r="M94" s="131" t="e">
        <f>'[4]BP AVRIL    '!F107</f>
        <v>#DIV/0!</v>
      </c>
      <c r="N94" s="131" t="e">
        <f>'[4]BP MAI     '!F107</f>
        <v>#DIV/0!</v>
      </c>
      <c r="O94" s="119" t="e">
        <f>+'[4]BP  JUIN '!F107</f>
        <v>#DIV/0!</v>
      </c>
      <c r="P94" s="119" t="e">
        <f>'[4]BP JUILLET '!F107</f>
        <v>#DIV/0!</v>
      </c>
      <c r="Q94" s="119" t="e">
        <f>'[4]BP AOUT '!F107</f>
        <v>#DIV/0!</v>
      </c>
      <c r="R94" s="119" t="e">
        <f>'[4]BP SEPTEMBRE '!F107</f>
        <v>#DIV/0!</v>
      </c>
      <c r="S94" s="119" t="e">
        <f>'[4]BP OCTOBRE '!F107</f>
        <v>#DIV/0!</v>
      </c>
      <c r="T94" s="119" t="e">
        <f>'[4]BP NOVEMBRE '!F107</f>
        <v>#DIV/0!</v>
      </c>
      <c r="U94" s="119" t="e">
        <f>'[4]BP DECEMBRE '!F107</f>
        <v>#DIV/0!</v>
      </c>
    </row>
    <row r="95" spans="1:21" ht="24" customHeight="1" x14ac:dyDescent="0.25">
      <c r="A95" s="887" t="s">
        <v>161</v>
      </c>
      <c r="B95" s="887"/>
      <c r="C95" s="887"/>
      <c r="D95" s="887"/>
      <c r="E95" s="650">
        <f>'[5]TRAME DU BP 2'!F68</f>
        <v>0</v>
      </c>
      <c r="F95" s="602"/>
      <c r="G95" s="145"/>
      <c r="H95" s="145"/>
      <c r="I95" s="145"/>
      <c r="J95" s="145"/>
      <c r="K95" s="145"/>
      <c r="L95" s="144">
        <f>'[4]BP MARS   '!F108</f>
        <v>0</v>
      </c>
      <c r="M95" s="131">
        <f>'[4]BP AVRIL    '!F108</f>
        <v>0</v>
      </c>
      <c r="N95" s="131" t="e">
        <f>'[4]BP MAI     '!F108</f>
        <v>#DIV/0!</v>
      </c>
      <c r="O95" s="119" t="e">
        <f>+'[4]BP  JUIN '!F108</f>
        <v>#DIV/0!</v>
      </c>
      <c r="P95" s="119" t="e">
        <f>'[4]BP JUILLET '!F108</f>
        <v>#DIV/0!</v>
      </c>
      <c r="Q95" s="119" t="e">
        <f>'[4]BP AOUT '!F108</f>
        <v>#DIV/0!</v>
      </c>
      <c r="R95" s="119" t="e">
        <f>'[4]BP SEPTEMBRE '!F108</f>
        <v>#DIV/0!</v>
      </c>
      <c r="S95" s="119" t="e">
        <f>'[4]BP OCTOBRE '!F108</f>
        <v>#DIV/0!</v>
      </c>
      <c r="T95" s="119" t="e">
        <f>'[4]BP NOVEMBRE '!F108</f>
        <v>#DIV/0!</v>
      </c>
      <c r="U95" s="119" t="e">
        <f>'[4]BP DECEMBRE '!F108</f>
        <v>#DIV/0!</v>
      </c>
    </row>
    <row r="96" spans="1:21" ht="24" customHeight="1" x14ac:dyDescent="0.25">
      <c r="A96" s="887" t="s">
        <v>162</v>
      </c>
      <c r="B96" s="887"/>
      <c r="C96" s="887"/>
      <c r="D96" s="887"/>
      <c r="E96" s="650">
        <f>'[5]TRAME DU BP 2'!F69</f>
        <v>81.260000000000005</v>
      </c>
      <c r="F96" s="602"/>
      <c r="G96" s="145"/>
      <c r="H96" s="145"/>
      <c r="I96" s="145"/>
      <c r="J96" s="145"/>
      <c r="K96" s="145"/>
      <c r="L96" s="144" t="e">
        <f>'[4]BP MARS   '!F109</f>
        <v>#DIV/0!</v>
      </c>
      <c r="M96" s="131" t="e">
        <f>'[4]BP AVRIL    '!F109</f>
        <v>#DIV/0!</v>
      </c>
      <c r="N96" s="131" t="e">
        <f>'[4]BP MAI     '!F109</f>
        <v>#DIV/0!</v>
      </c>
      <c r="O96" s="119" t="e">
        <f>+'[4]BP  JUIN '!F109</f>
        <v>#DIV/0!</v>
      </c>
      <c r="P96" s="119" t="e">
        <f>'[4]BP JUILLET '!F109</f>
        <v>#DIV/0!</v>
      </c>
      <c r="Q96" s="119" t="e">
        <f>'[4]BP AOUT '!F109</f>
        <v>#DIV/0!</v>
      </c>
      <c r="R96" s="119" t="e">
        <f>'[4]BP SEPTEMBRE '!F109</f>
        <v>#DIV/0!</v>
      </c>
      <c r="S96" s="119" t="e">
        <f>'[4]BP OCTOBRE '!F109</f>
        <v>#DIV/0!</v>
      </c>
      <c r="T96" s="119" t="e">
        <f>'[4]BP NOVEMBRE '!F109</f>
        <v>#DIV/0!</v>
      </c>
      <c r="U96" s="119" t="e">
        <f>'[4]BP DECEMBRE '!F109</f>
        <v>#DIV/0!</v>
      </c>
    </row>
    <row r="97" spans="1:21" ht="24" customHeight="1" x14ac:dyDescent="0.25">
      <c r="A97" s="742" t="s">
        <v>163</v>
      </c>
      <c r="B97" s="742"/>
      <c r="C97" s="742"/>
      <c r="D97" s="742"/>
      <c r="E97" s="650">
        <f>'[5]TRAME DU BP 2'!F72</f>
        <v>4721.6500000000005</v>
      </c>
      <c r="F97" s="602"/>
      <c r="G97" s="145"/>
      <c r="H97" s="145"/>
      <c r="I97" s="145"/>
      <c r="J97" s="145"/>
      <c r="K97" s="145"/>
      <c r="L97" s="144" t="e">
        <f>'[4]BP MARS   '!F113</f>
        <v>#DIV/0!</v>
      </c>
      <c r="M97" s="131" t="e">
        <f>'[4]BP AVRIL    '!F113</f>
        <v>#DIV/0!</v>
      </c>
      <c r="N97" s="131" t="e">
        <f>'[4]BP MAI     '!F113</f>
        <v>#DIV/0!</v>
      </c>
      <c r="O97" s="119" t="e">
        <f>+'[4]BP  JUIN '!F113</f>
        <v>#DIV/0!</v>
      </c>
      <c r="P97" s="119" t="e">
        <f>'[4]BP JUILLET '!F113</f>
        <v>#DIV/0!</v>
      </c>
      <c r="Q97" s="119" t="e">
        <f>'[4]BP AOUT '!F113</f>
        <v>#DIV/0!</v>
      </c>
      <c r="R97" s="119" t="e">
        <f>'[4]BP SEPTEMBRE '!F113</f>
        <v>#DIV/0!</v>
      </c>
      <c r="S97" s="119" t="e">
        <f>'[4]BP OCTOBRE '!F113</f>
        <v>#DIV/0!</v>
      </c>
      <c r="T97" s="119" t="e">
        <f>'[4]BP NOVEMBRE '!F113</f>
        <v>#DIV/0!</v>
      </c>
      <c r="U97" s="119" t="e">
        <f>'[4]BP DECEMBRE '!F113</f>
        <v>#DIV/0!</v>
      </c>
    </row>
    <row r="98" spans="1:21" ht="24" customHeight="1" x14ac:dyDescent="0.25">
      <c r="A98" s="742" t="s">
        <v>164</v>
      </c>
      <c r="B98" s="742"/>
      <c r="C98" s="742"/>
      <c r="D98" s="742"/>
      <c r="E98" s="651">
        <f>'[5]TRAME DU BP 2'!G43</f>
        <v>531.87</v>
      </c>
      <c r="F98" s="602"/>
      <c r="G98" s="145"/>
      <c r="H98" s="145"/>
      <c r="I98" s="145"/>
      <c r="J98" s="145"/>
      <c r="K98" s="145"/>
      <c r="L98" s="144" t="e">
        <f>'[4]BP MARS   '!G79+'[4]BP MARS   '!G80+'[4]BP MARS   '!G82+'[4]BP MARS   '!G83</f>
        <v>#DIV/0!</v>
      </c>
      <c r="M98" s="131" t="e">
        <f>'[4]BP AVRIL    '!G79+'[4]BP AVRIL    '!G80+'[4]BP AVRIL    '!G82+'[4]BP AVRIL    '!G83</f>
        <v>#DIV/0!</v>
      </c>
      <c r="N98" s="131" t="e">
        <f>'[4]BP MAI     '!G79+'[4]BP MAI     '!G80+'[4]BP MAI     '!G82+'[4]BP MAI     '!G83</f>
        <v>#DIV/0!</v>
      </c>
      <c r="O98" s="119" t="e">
        <f>+'[4]BP  JUIN '!G79+'[4]BP  JUIN '!G80+'[4]BP  JUIN '!G82+'[4]BP  JUIN '!G83</f>
        <v>#DIV/0!</v>
      </c>
      <c r="P98" s="119" t="e">
        <f>'[4]BP JUILLET '!G79+'[4]BP JUILLET '!G80+'[4]BP JUILLET '!G82+'[4]BP JUILLET '!G83</f>
        <v>#DIV/0!</v>
      </c>
      <c r="Q98" s="119" t="e">
        <f>'[4]BP AOUT '!G79+'[4]BP AOUT '!G80+'[4]BP AOUT '!G82+'[4]BP AOUT '!G83</f>
        <v>#DIV/0!</v>
      </c>
      <c r="R98" s="119" t="e">
        <f>'[4]BP SEPTEMBRE '!G79+'[4]BP SEPTEMBRE '!G80+'[4]BP SEPTEMBRE '!G82+'[4]BP SEPTEMBRE '!G83</f>
        <v>#DIV/0!</v>
      </c>
      <c r="S98" s="119" t="e">
        <f>'[4]BP OCTOBRE '!G79+'[4]BP OCTOBRE '!G80+'[4]BP OCTOBRE '!G82+'[4]BP OCTOBRE '!G83</f>
        <v>#DIV/0!</v>
      </c>
      <c r="T98" s="119" t="e">
        <f>'[4]BP NOVEMBRE '!G79+'[4]BP NOVEMBRE '!G80+'[4]BP NOVEMBRE '!G82+'[4]BP NOVEMBRE '!G83</f>
        <v>#DIV/0!</v>
      </c>
      <c r="U98" s="119" t="e">
        <f>'[4]BP DECEMBRE '!G79+'[4]BP DECEMBRE '!G80+'[4]BP DECEMBRE '!G82+'[4]BP DECEMBRE '!G83</f>
        <v>#DIV/0!</v>
      </c>
    </row>
    <row r="99" spans="1:21" ht="31.5" customHeight="1" x14ac:dyDescent="0.25">
      <c r="A99" s="742" t="s">
        <v>373</v>
      </c>
      <c r="B99" s="742"/>
      <c r="C99" s="742"/>
      <c r="D99" s="742"/>
      <c r="E99" s="652">
        <f>'[5]TRAME DU BP 2'!G75</f>
        <v>531.87</v>
      </c>
      <c r="F99" s="602"/>
      <c r="G99" s="52"/>
      <c r="H99" s="52"/>
      <c r="I99" s="52"/>
      <c r="J99" s="52"/>
      <c r="K99" s="52"/>
      <c r="L99" s="52"/>
    </row>
    <row r="100" spans="1:21" ht="31.5" customHeight="1" x14ac:dyDescent="0.25">
      <c r="A100" s="742" t="s">
        <v>836</v>
      </c>
      <c r="B100" s="742"/>
      <c r="C100" s="742"/>
      <c r="D100" s="742"/>
      <c r="E100" s="652"/>
      <c r="F100" s="602"/>
      <c r="G100" s="52"/>
      <c r="H100" s="52"/>
      <c r="I100" s="52"/>
      <c r="J100" s="52"/>
      <c r="K100" s="52"/>
      <c r="L100" s="52"/>
    </row>
    <row r="101" spans="1:21" ht="31.5" customHeight="1" x14ac:dyDescent="0.25">
      <c r="A101" s="742" t="s">
        <v>837</v>
      </c>
      <c r="B101" s="742"/>
      <c r="C101" s="742"/>
      <c r="D101" s="742"/>
      <c r="E101" s="652"/>
      <c r="F101" s="602"/>
      <c r="G101" s="52"/>
      <c r="H101" s="52"/>
      <c r="I101" s="52"/>
      <c r="J101" s="52"/>
      <c r="K101" s="52"/>
      <c r="L101" s="52"/>
    </row>
    <row r="102" spans="1:21" ht="24" customHeight="1" x14ac:dyDescent="0.25">
      <c r="A102" s="742" t="s">
        <v>217</v>
      </c>
      <c r="B102" s="742"/>
      <c r="C102" s="742"/>
      <c r="D102" s="742"/>
      <c r="E102" s="653">
        <f>E85+E86+E90+E93+E94+E96-E97+E98+E106+E100+E101-E89</f>
        <v>13590.029999999997</v>
      </c>
      <c r="F102" s="888" t="s">
        <v>883</v>
      </c>
      <c r="G102" s="729"/>
      <c r="H102" s="729"/>
      <c r="I102" s="729"/>
      <c r="J102" s="52"/>
      <c r="K102" s="52"/>
      <c r="L102" s="52"/>
    </row>
    <row r="103" spans="1:21" ht="20.25" customHeight="1" x14ac:dyDescent="0.25">
      <c r="E103" s="52"/>
      <c r="F103" s="52"/>
      <c r="G103" s="52"/>
      <c r="H103" s="52"/>
      <c r="I103" s="52"/>
      <c r="J103" s="52"/>
      <c r="K103" s="52"/>
      <c r="L103" s="52"/>
    </row>
    <row r="104" spans="1:21" ht="20.25" customHeight="1" x14ac:dyDescent="0.25">
      <c r="C104" s="52"/>
      <c r="E104" s="52"/>
      <c r="F104" s="52"/>
      <c r="G104" s="52"/>
      <c r="H104" s="52"/>
      <c r="I104" s="52"/>
      <c r="J104" s="52"/>
      <c r="K104" s="52"/>
      <c r="L104" s="52"/>
    </row>
    <row r="105" spans="1:21" ht="20.25" customHeight="1" x14ac:dyDescent="0.25">
      <c r="A105" s="742" t="s">
        <v>838</v>
      </c>
      <c r="B105" s="742"/>
      <c r="C105" s="742"/>
      <c r="D105" s="742"/>
      <c r="E105" s="152">
        <f>+E113</f>
        <v>0</v>
      </c>
      <c r="F105" s="605"/>
      <c r="G105" s="605"/>
      <c r="H105" s="605"/>
      <c r="I105" s="605"/>
      <c r="J105" s="605"/>
      <c r="K105" s="605"/>
      <c r="L105" s="606" t="e">
        <f t="shared" ref="L105:U105" si="30">+L113</f>
        <v>#DIV/0!</v>
      </c>
      <c r="M105" s="132" t="e">
        <f t="shared" si="30"/>
        <v>#DIV/0!</v>
      </c>
      <c r="N105" s="132" t="e">
        <f t="shared" si="30"/>
        <v>#DIV/0!</v>
      </c>
      <c r="O105" s="132" t="e">
        <f t="shared" si="30"/>
        <v>#DIV/0!</v>
      </c>
      <c r="P105" s="132" t="e">
        <f t="shared" si="30"/>
        <v>#DIV/0!</v>
      </c>
      <c r="Q105" s="132" t="e">
        <f t="shared" si="30"/>
        <v>#DIV/0!</v>
      </c>
      <c r="R105" s="132" t="e">
        <f t="shared" si="30"/>
        <v>#DIV/0!</v>
      </c>
      <c r="S105" s="132" t="e">
        <f t="shared" si="30"/>
        <v>#DIV/0!</v>
      </c>
      <c r="T105" s="132" t="e">
        <f t="shared" si="30"/>
        <v>#DIV/0!</v>
      </c>
      <c r="U105" s="132" t="e">
        <f t="shared" si="30"/>
        <v>#DIV/0!</v>
      </c>
    </row>
    <row r="106" spans="1:21" ht="20.25" customHeight="1" x14ac:dyDescent="0.25">
      <c r="A106" s="737" t="s">
        <v>188</v>
      </c>
      <c r="B106" s="738"/>
      <c r="C106" s="738"/>
      <c r="D106" s="739"/>
      <c r="E106" s="152"/>
      <c r="F106" s="605"/>
      <c r="G106" s="605"/>
      <c r="H106" s="605"/>
      <c r="I106" s="605"/>
      <c r="J106" s="605"/>
      <c r="K106" s="605"/>
      <c r="L106" s="606"/>
      <c r="M106" s="132"/>
      <c r="N106" s="132"/>
      <c r="O106" s="132"/>
      <c r="P106" s="132"/>
      <c r="Q106" s="132"/>
      <c r="R106" s="132"/>
      <c r="S106" s="132"/>
      <c r="T106" s="132"/>
      <c r="U106" s="132"/>
    </row>
    <row r="107" spans="1:21" ht="20.25" customHeight="1" x14ac:dyDescent="0.25">
      <c r="A107" s="742" t="s">
        <v>61</v>
      </c>
      <c r="B107" s="742"/>
      <c r="C107" s="742"/>
      <c r="D107" s="742"/>
      <c r="E107" s="152"/>
      <c r="F107" s="605"/>
      <c r="G107" s="605"/>
      <c r="H107" s="605"/>
      <c r="I107" s="605"/>
      <c r="J107" s="605"/>
      <c r="K107" s="605"/>
      <c r="L107" s="607" t="e">
        <f t="shared" ref="L107:U107" si="31">L85-L97+L98+L93+L96+L94+L88+L105</f>
        <v>#DIV/0!</v>
      </c>
      <c r="M107" s="133" t="e">
        <f t="shared" si="31"/>
        <v>#DIV/0!</v>
      </c>
      <c r="N107" s="133" t="e">
        <f t="shared" si="31"/>
        <v>#DIV/0!</v>
      </c>
      <c r="O107" s="133" t="e">
        <f t="shared" si="31"/>
        <v>#DIV/0!</v>
      </c>
      <c r="P107" s="133" t="e">
        <f t="shared" si="31"/>
        <v>#DIV/0!</v>
      </c>
      <c r="Q107" s="133" t="e">
        <f t="shared" si="31"/>
        <v>#DIV/0!</v>
      </c>
      <c r="R107" s="133" t="e">
        <f t="shared" si="31"/>
        <v>#DIV/0!</v>
      </c>
      <c r="S107" s="133" t="e">
        <f t="shared" si="31"/>
        <v>#DIV/0!</v>
      </c>
      <c r="T107" s="133" t="e">
        <f t="shared" si="31"/>
        <v>#DIV/0!</v>
      </c>
      <c r="U107" s="133" t="e">
        <f t="shared" si="31"/>
        <v>#DIV/0!</v>
      </c>
    </row>
    <row r="109" spans="1:21" ht="30.75" customHeight="1" x14ac:dyDescent="0.25">
      <c r="E109" s="151" t="s">
        <v>193</v>
      </c>
      <c r="F109" s="149"/>
      <c r="G109" s="149"/>
      <c r="H109" s="149"/>
      <c r="I109" s="149"/>
      <c r="J109" s="149"/>
      <c r="K109" s="149"/>
      <c r="L109" s="146" t="s">
        <v>148</v>
      </c>
      <c r="M109" s="134" t="s">
        <v>149</v>
      </c>
      <c r="N109" s="134" t="s">
        <v>138</v>
      </c>
      <c r="O109" s="134" t="s">
        <v>139</v>
      </c>
      <c r="P109" s="134" t="s">
        <v>151</v>
      </c>
      <c r="Q109" s="134" t="s">
        <v>152</v>
      </c>
      <c r="R109" s="134" t="s">
        <v>153</v>
      </c>
      <c r="S109" s="134" t="s">
        <v>154</v>
      </c>
      <c r="T109" s="134" t="s">
        <v>155</v>
      </c>
      <c r="U109" s="134" t="s">
        <v>156</v>
      </c>
    </row>
    <row r="110" spans="1:21" ht="20.25" customHeight="1" x14ac:dyDescent="0.25">
      <c r="A110" s="742" t="s">
        <v>165</v>
      </c>
      <c r="B110" s="742"/>
      <c r="C110" s="742"/>
      <c r="D110" s="737"/>
      <c r="E110" s="135">
        <f>C57</f>
        <v>2802.14</v>
      </c>
      <c r="F110" s="150"/>
      <c r="G110" s="150"/>
      <c r="H110" s="150"/>
      <c r="I110" s="150"/>
      <c r="J110" s="150"/>
      <c r="K110" s="102"/>
      <c r="L110" s="147" t="e">
        <f>C60</f>
        <v>#DIV/0!</v>
      </c>
      <c r="M110" s="135" t="e">
        <f>C61</f>
        <v>#DIV/0!</v>
      </c>
      <c r="N110" s="135" t="e">
        <f>C62</f>
        <v>#DIV/0!</v>
      </c>
      <c r="O110" s="135" t="e">
        <f>C63</f>
        <v>#DIV/0!</v>
      </c>
      <c r="P110" s="135" t="e">
        <f>C64</f>
        <v>#DIV/0!</v>
      </c>
      <c r="Q110" s="137" t="e">
        <f>C65</f>
        <v>#DIV/0!</v>
      </c>
      <c r="R110" s="137" t="e">
        <f>C66</f>
        <v>#DIV/0!</v>
      </c>
      <c r="S110" s="137" t="e">
        <f>+C67</f>
        <v>#DIV/0!</v>
      </c>
      <c r="T110" s="137" t="e">
        <f>C68</f>
        <v>#DIV/0!</v>
      </c>
      <c r="U110" s="137" t="e">
        <f>C69</f>
        <v>#DIV/0!</v>
      </c>
    </row>
    <row r="111" spans="1:21" ht="20.25" customHeight="1" x14ac:dyDescent="0.25">
      <c r="A111" s="742" t="s">
        <v>166</v>
      </c>
      <c r="B111" s="742"/>
      <c r="C111" s="742"/>
      <c r="D111" s="737"/>
      <c r="E111" s="135">
        <f>E110</f>
        <v>2802.14</v>
      </c>
      <c r="F111" s="150"/>
      <c r="G111" s="150"/>
      <c r="H111" s="150"/>
      <c r="I111" s="150"/>
      <c r="J111" s="150"/>
      <c r="K111" s="150"/>
      <c r="L111" s="147" t="e">
        <f t="shared" ref="L111:U111" si="32">L110-K110</f>
        <v>#DIV/0!</v>
      </c>
      <c r="M111" s="135" t="e">
        <f t="shared" si="32"/>
        <v>#DIV/0!</v>
      </c>
      <c r="N111" s="135" t="e">
        <f t="shared" si="32"/>
        <v>#DIV/0!</v>
      </c>
      <c r="O111" s="135" t="e">
        <f t="shared" si="32"/>
        <v>#DIV/0!</v>
      </c>
      <c r="P111" s="137" t="e">
        <f t="shared" si="32"/>
        <v>#DIV/0!</v>
      </c>
      <c r="Q111" s="137" t="e">
        <f t="shared" si="32"/>
        <v>#DIV/0!</v>
      </c>
      <c r="R111" s="137" t="e">
        <f t="shared" si="32"/>
        <v>#DIV/0!</v>
      </c>
      <c r="S111" s="137" t="e">
        <f t="shared" si="32"/>
        <v>#DIV/0!</v>
      </c>
      <c r="T111" s="137" t="e">
        <f t="shared" si="32"/>
        <v>#DIV/0!</v>
      </c>
      <c r="U111" s="137" t="e">
        <f t="shared" si="32"/>
        <v>#DIV/0!</v>
      </c>
    </row>
    <row r="112" spans="1:21" ht="20.25" customHeight="1" x14ac:dyDescent="0.25">
      <c r="A112" s="742" t="s">
        <v>214</v>
      </c>
      <c r="B112" s="742"/>
      <c r="C112" s="742"/>
      <c r="D112" s="737"/>
      <c r="E112" s="136">
        <f>IF(E110&lt;8037,0,E110-8037)</f>
        <v>0</v>
      </c>
      <c r="F112" s="102"/>
      <c r="G112" s="102"/>
      <c r="H112" s="102"/>
      <c r="I112" s="102"/>
      <c r="J112" s="102"/>
      <c r="K112" s="102"/>
      <c r="L112" s="148" t="e">
        <f t="shared" ref="L112:U112" si="33">IF(L110&lt;5358,0,L110-5358)</f>
        <v>#DIV/0!</v>
      </c>
      <c r="M112" s="136" t="e">
        <f t="shared" si="33"/>
        <v>#DIV/0!</v>
      </c>
      <c r="N112" s="136" t="e">
        <f t="shared" si="33"/>
        <v>#DIV/0!</v>
      </c>
      <c r="O112" s="136" t="e">
        <f t="shared" si="33"/>
        <v>#DIV/0!</v>
      </c>
      <c r="P112" s="136" t="e">
        <f t="shared" si="33"/>
        <v>#DIV/0!</v>
      </c>
      <c r="Q112" s="136" t="e">
        <f t="shared" si="33"/>
        <v>#DIV/0!</v>
      </c>
      <c r="R112" s="136" t="e">
        <f t="shared" si="33"/>
        <v>#DIV/0!</v>
      </c>
      <c r="S112" s="136" t="e">
        <f t="shared" si="33"/>
        <v>#DIV/0!</v>
      </c>
      <c r="T112" s="136" t="e">
        <f t="shared" si="33"/>
        <v>#DIV/0!</v>
      </c>
      <c r="U112" s="136" t="e">
        <f t="shared" si="33"/>
        <v>#DIV/0!</v>
      </c>
    </row>
    <row r="113" spans="1:21" ht="20.25" customHeight="1" x14ac:dyDescent="0.25">
      <c r="A113" s="742" t="s">
        <v>215</v>
      </c>
      <c r="B113" s="742"/>
      <c r="C113" s="742"/>
      <c r="D113" s="737"/>
      <c r="E113" s="136"/>
      <c r="F113" s="102"/>
      <c r="G113" s="102"/>
      <c r="H113" s="102"/>
      <c r="I113" s="102"/>
      <c r="J113" s="102"/>
      <c r="K113" s="102"/>
      <c r="L113" s="148" t="e">
        <f t="shared" ref="L113:U113" si="34">L112-K112</f>
        <v>#DIV/0!</v>
      </c>
      <c r="M113" s="136" t="e">
        <f t="shared" si="34"/>
        <v>#DIV/0!</v>
      </c>
      <c r="N113" s="136" t="e">
        <f t="shared" si="34"/>
        <v>#DIV/0!</v>
      </c>
      <c r="O113" s="136" t="e">
        <f t="shared" si="34"/>
        <v>#DIV/0!</v>
      </c>
      <c r="P113" s="136" t="e">
        <f t="shared" si="34"/>
        <v>#DIV/0!</v>
      </c>
      <c r="Q113" s="136" t="e">
        <f t="shared" si="34"/>
        <v>#DIV/0!</v>
      </c>
      <c r="R113" s="136" t="e">
        <f t="shared" si="34"/>
        <v>#DIV/0!</v>
      </c>
      <c r="S113" s="136" t="e">
        <f t="shared" si="34"/>
        <v>#DIV/0!</v>
      </c>
      <c r="T113" s="136" t="e">
        <f t="shared" si="34"/>
        <v>#DIV/0!</v>
      </c>
      <c r="U113" s="136" t="e">
        <f t="shared" si="34"/>
        <v>#DIV/0!</v>
      </c>
    </row>
    <row r="114" spans="1:21" ht="16.149999999999999" customHeight="1" x14ac:dyDescent="0.25"/>
    <row r="115" spans="1:21" ht="30" hidden="1" x14ac:dyDescent="0.25">
      <c r="E115" s="138" t="s">
        <v>136</v>
      </c>
      <c r="F115" s="138"/>
      <c r="G115" s="138"/>
      <c r="H115" s="138"/>
      <c r="I115" s="138"/>
      <c r="J115" s="138"/>
      <c r="K115" s="138" t="s">
        <v>137</v>
      </c>
      <c r="L115" s="138" t="s">
        <v>148</v>
      </c>
      <c r="M115" s="138" t="s">
        <v>149</v>
      </c>
      <c r="N115" s="138" t="s">
        <v>138</v>
      </c>
      <c r="O115" s="138" t="s">
        <v>139</v>
      </c>
      <c r="P115" s="138" t="s">
        <v>151</v>
      </c>
      <c r="Q115" s="138" t="s">
        <v>152</v>
      </c>
      <c r="R115" s="138" t="s">
        <v>153</v>
      </c>
      <c r="S115" s="138" t="s">
        <v>154</v>
      </c>
      <c r="T115" s="138" t="s">
        <v>155</v>
      </c>
      <c r="U115" s="138" t="s">
        <v>156</v>
      </c>
    </row>
    <row r="116" spans="1:21" hidden="1" x14ac:dyDescent="0.25">
      <c r="A116" s="891" t="s">
        <v>167</v>
      </c>
      <c r="B116" s="891"/>
      <c r="C116" s="891"/>
      <c r="D116" s="891"/>
      <c r="E116" s="133">
        <f>E85+E88</f>
        <v>17000</v>
      </c>
      <c r="F116" s="133"/>
      <c r="G116" s="133"/>
      <c r="H116" s="133"/>
      <c r="I116" s="133"/>
      <c r="J116" s="133"/>
      <c r="K116" s="133">
        <f t="shared" ref="K116:U116" si="35">K85+K88</f>
        <v>0</v>
      </c>
      <c r="L116" s="133" t="e">
        <f t="shared" si="35"/>
        <v>#DIV/0!</v>
      </c>
      <c r="M116" s="133" t="e">
        <f t="shared" si="35"/>
        <v>#DIV/0!</v>
      </c>
      <c r="N116" s="133" t="e">
        <f t="shared" si="35"/>
        <v>#DIV/0!</v>
      </c>
      <c r="O116" s="133" t="e">
        <f t="shared" si="35"/>
        <v>#DIV/0!</v>
      </c>
      <c r="P116" s="133" t="e">
        <f t="shared" si="35"/>
        <v>#DIV/0!</v>
      </c>
      <c r="Q116" s="133" t="e">
        <f t="shared" si="35"/>
        <v>#DIV/0!</v>
      </c>
      <c r="R116" s="133" t="e">
        <f t="shared" si="35"/>
        <v>#DIV/0!</v>
      </c>
      <c r="S116" s="133" t="e">
        <f t="shared" si="35"/>
        <v>#DIV/0!</v>
      </c>
      <c r="T116" s="133" t="e">
        <f t="shared" si="35"/>
        <v>#DIV/0!</v>
      </c>
      <c r="U116" s="133" t="e">
        <f t="shared" si="35"/>
        <v>#DIV/0!</v>
      </c>
    </row>
    <row r="117" spans="1:21" hidden="1" x14ac:dyDescent="0.25">
      <c r="A117" s="891" t="s">
        <v>168</v>
      </c>
      <c r="B117" s="891"/>
      <c r="C117" s="891"/>
      <c r="D117" s="891"/>
      <c r="E117" s="133">
        <f>E91</f>
        <v>2802.14</v>
      </c>
      <c r="F117" s="133"/>
      <c r="G117" s="133"/>
      <c r="H117" s="133"/>
      <c r="I117" s="133"/>
      <c r="J117" s="133"/>
      <c r="K117" s="133">
        <f>K91</f>
        <v>0</v>
      </c>
      <c r="L117" s="133" t="e">
        <f>L91</f>
        <v>#DIV/0!</v>
      </c>
      <c r="M117" s="133" t="e">
        <f>M91</f>
        <v>#DIV/0!</v>
      </c>
      <c r="N117" s="133" t="e">
        <f>N91</f>
        <v>#DIV/0!</v>
      </c>
      <c r="O117" s="119" t="e">
        <f t="shared" ref="O117:U117" si="36">+O91</f>
        <v>#DIV/0!</v>
      </c>
      <c r="P117" s="119" t="e">
        <f t="shared" si="36"/>
        <v>#DIV/0!</v>
      </c>
      <c r="Q117" s="119" t="e">
        <f t="shared" si="36"/>
        <v>#DIV/0!</v>
      </c>
      <c r="R117" s="119" t="e">
        <f t="shared" si="36"/>
        <v>#DIV/0!</v>
      </c>
      <c r="S117" s="119" t="e">
        <f t="shared" si="36"/>
        <v>#DIV/0!</v>
      </c>
      <c r="T117" s="119" t="e">
        <f t="shared" si="36"/>
        <v>#DIV/0!</v>
      </c>
      <c r="U117" s="119" t="e">
        <f t="shared" si="36"/>
        <v>#DIV/0!</v>
      </c>
    </row>
    <row r="118" spans="1:21" hidden="1" x14ac:dyDescent="0.25">
      <c r="A118" s="891" t="s">
        <v>169</v>
      </c>
      <c r="B118" s="891"/>
      <c r="C118" s="891"/>
      <c r="D118" s="891"/>
      <c r="E118" s="133">
        <f>E116+E117</f>
        <v>19802.14</v>
      </c>
      <c r="F118" s="133"/>
      <c r="G118" s="133"/>
      <c r="H118" s="133"/>
      <c r="I118" s="133"/>
      <c r="J118" s="133"/>
      <c r="K118" s="133">
        <f>K117+K116+E118</f>
        <v>19802.14</v>
      </c>
      <c r="L118" s="133" t="e">
        <f t="shared" ref="L118:U118" si="37">L117+L116+K118</f>
        <v>#DIV/0!</v>
      </c>
      <c r="M118" s="133" t="e">
        <f t="shared" si="37"/>
        <v>#DIV/0!</v>
      </c>
      <c r="N118" s="133" t="e">
        <f t="shared" si="37"/>
        <v>#DIV/0!</v>
      </c>
      <c r="O118" s="133" t="e">
        <f t="shared" si="37"/>
        <v>#DIV/0!</v>
      </c>
      <c r="P118" s="133" t="e">
        <f t="shared" si="37"/>
        <v>#DIV/0!</v>
      </c>
      <c r="Q118" s="133" t="e">
        <f t="shared" si="37"/>
        <v>#DIV/0!</v>
      </c>
      <c r="R118" s="133" t="e">
        <f t="shared" si="37"/>
        <v>#DIV/0!</v>
      </c>
      <c r="S118" s="133" t="e">
        <f t="shared" si="37"/>
        <v>#DIV/0!</v>
      </c>
      <c r="T118" s="133" t="e">
        <f t="shared" si="37"/>
        <v>#DIV/0!</v>
      </c>
      <c r="U118" s="133" t="e">
        <f t="shared" si="37"/>
        <v>#DIV/0!</v>
      </c>
    </row>
    <row r="119" spans="1:21" hidden="1" x14ac:dyDescent="0.25">
      <c r="A119" s="891" t="s">
        <v>170</v>
      </c>
      <c r="B119" s="891"/>
      <c r="C119" s="891"/>
      <c r="D119" s="891"/>
      <c r="E119" s="133">
        <f>D24</f>
        <v>3428</v>
      </c>
      <c r="F119" s="133"/>
      <c r="G119" s="133"/>
      <c r="H119" s="133"/>
      <c r="I119" s="133"/>
      <c r="J119" s="133"/>
      <c r="K119" s="133">
        <f>D25</f>
        <v>3428</v>
      </c>
      <c r="L119" s="133">
        <f>D26</f>
        <v>3428</v>
      </c>
      <c r="M119" s="133">
        <f>D27</f>
        <v>3428</v>
      </c>
      <c r="N119" s="133">
        <f>D28</f>
        <v>3428</v>
      </c>
      <c r="O119" s="96">
        <f>D29</f>
        <v>3428</v>
      </c>
      <c r="P119" s="96">
        <f>D30</f>
        <v>3428</v>
      </c>
      <c r="Q119" s="98"/>
      <c r="R119" s="98"/>
      <c r="S119" s="98"/>
      <c r="T119" s="98"/>
      <c r="U119" s="98"/>
    </row>
    <row r="120" spans="1:21" hidden="1" x14ac:dyDescent="0.25">
      <c r="A120" s="891" t="s">
        <v>171</v>
      </c>
      <c r="B120" s="891"/>
      <c r="C120" s="891"/>
      <c r="D120" s="891"/>
      <c r="E120" s="133">
        <f t="shared" ref="E120:U120" si="38">4*E119</f>
        <v>13712</v>
      </c>
      <c r="F120" s="133"/>
      <c r="G120" s="133"/>
      <c r="H120" s="133"/>
      <c r="I120" s="133"/>
      <c r="J120" s="133"/>
      <c r="K120" s="133">
        <f t="shared" si="38"/>
        <v>13712</v>
      </c>
      <c r="L120" s="133">
        <f t="shared" si="38"/>
        <v>13712</v>
      </c>
      <c r="M120" s="133">
        <f t="shared" si="38"/>
        <v>13712</v>
      </c>
      <c r="N120" s="133">
        <f t="shared" si="38"/>
        <v>13712</v>
      </c>
      <c r="O120" s="133">
        <f t="shared" si="38"/>
        <v>13712</v>
      </c>
      <c r="P120" s="133">
        <f t="shared" si="38"/>
        <v>13712</v>
      </c>
      <c r="Q120" s="133">
        <f t="shared" si="38"/>
        <v>0</v>
      </c>
      <c r="R120" s="133">
        <f t="shared" si="38"/>
        <v>0</v>
      </c>
      <c r="S120" s="133">
        <f t="shared" si="38"/>
        <v>0</v>
      </c>
      <c r="T120" s="133">
        <f t="shared" si="38"/>
        <v>0</v>
      </c>
      <c r="U120" s="133">
        <f t="shared" si="38"/>
        <v>0</v>
      </c>
    </row>
    <row r="121" spans="1:21" hidden="1" x14ac:dyDescent="0.25">
      <c r="A121" s="892" t="s">
        <v>172</v>
      </c>
      <c r="B121" s="893"/>
      <c r="C121" s="893"/>
      <c r="D121" s="894"/>
      <c r="E121" s="133">
        <f>'[4]BP  JANV. COMMENTE 1   '!G80+'[4]BP  JANV. COMMENTE 1   '!G81+'[4]BP  JANV. COMMENTE 1   '!G82+'[4]BP  JANV. COMMENTE 1   '!G83+'[4]BP  JANV. COMMENTE 1   '!G84+'[4]BP  JANV. COMMENTE 1   '!G85</f>
        <v>245.54</v>
      </c>
      <c r="F121" s="133"/>
      <c r="G121" s="133"/>
      <c r="H121" s="133"/>
      <c r="I121" s="133"/>
      <c r="J121" s="133"/>
      <c r="K121" s="133">
        <f>'[4]BP FEVRIER    '!G79+'[4]BP FEVRIER    '!G80+'[4]BP FEVRIER    '!G81+'[4]BP FEVRIER    '!G82+'[4]BP FEVRIER    '!G83+'[4]BP FEVRIER    '!G84+'[4]BP FEVRIER    '!G85</f>
        <v>0</v>
      </c>
      <c r="L121" s="133" t="e">
        <f>'[4]BP MARS   '!G79+'[4]BP MARS   '!G80+'[4]BP MARS   '!G81+'[4]BP MARS   '!G82+'[4]BP MARS   '!G83+'[4]BP MARS   '!G84+'[4]BP MARS   '!G85</f>
        <v>#DIV/0!</v>
      </c>
      <c r="M121" s="133" t="e">
        <f>'[4]BP AVRIL    '!G79+'[4]BP AVRIL    '!G80+'[4]BP AVRIL    '!G81+'[4]BP AVRIL    '!G82+'[4]BP AVRIL    '!G83+'[4]BP AVRIL    '!G84+'[4]BP AVRIL    '!G85</f>
        <v>#DIV/0!</v>
      </c>
      <c r="N121" s="133" t="e">
        <f>'[4]BP MAI     '!G79+'[4]BP MAI     '!G80+'[4]BP MAI     '!G81+'[4]BP MAI     '!G82+'[4]BP MAI     '!G83+'[4]BP MAI     '!G84+'[4]BP MAI     '!G87</f>
        <v>#DIV/0!</v>
      </c>
      <c r="O121" s="133" t="e">
        <f>'[4]BP  JUIN '!G79+'[4]BP  JUIN '!G80+'[4]BP  JUIN '!G81+'[4]BP  JUIN '!G82+'[4]BP  JUIN '!G83+'[4]BP  JUIN '!G84+'[4]BP  JUIN '!G87</f>
        <v>#DIV/0!</v>
      </c>
      <c r="P121" s="119" t="e">
        <f>+'[4]BP JUILLET '!G79+'[4]BP JUILLET '!G80+'[4]BP JUILLET '!G81+'[4]BP JUILLET '!G82+'[4]BP JUILLET '!G83+'[4]BP JUILLET '!G84+'[4]BP JUILLET '!G87</f>
        <v>#DIV/0!</v>
      </c>
      <c r="Q121" s="98"/>
      <c r="R121" s="98"/>
      <c r="S121" s="98"/>
      <c r="T121" s="98"/>
      <c r="U121" s="98"/>
    </row>
    <row r="122" spans="1:21" hidden="1" x14ac:dyDescent="0.25">
      <c r="A122" s="891" t="s">
        <v>173</v>
      </c>
      <c r="B122" s="891"/>
      <c r="C122" s="891"/>
      <c r="D122" s="891"/>
      <c r="E122" s="99">
        <f t="shared" ref="E122:U122" si="39">IF(E116&lt;=E120,E116*0.9825+E121,E120*0.9825+E116-E120+E121)</f>
        <v>17005.580000000002</v>
      </c>
      <c r="F122" s="99"/>
      <c r="G122" s="99"/>
      <c r="H122" s="99"/>
      <c r="I122" s="99"/>
      <c r="J122" s="99"/>
      <c r="K122" s="99">
        <f t="shared" si="39"/>
        <v>0</v>
      </c>
      <c r="L122" s="99" t="e">
        <f t="shared" si="39"/>
        <v>#DIV/0!</v>
      </c>
      <c r="M122" s="99" t="e">
        <f t="shared" si="39"/>
        <v>#DIV/0!</v>
      </c>
      <c r="N122" s="99" t="e">
        <f t="shared" si="39"/>
        <v>#DIV/0!</v>
      </c>
      <c r="O122" s="99" t="e">
        <f t="shared" si="39"/>
        <v>#DIV/0!</v>
      </c>
      <c r="P122" s="99" t="e">
        <f t="shared" si="39"/>
        <v>#DIV/0!</v>
      </c>
      <c r="Q122" s="99" t="e">
        <f t="shared" si="39"/>
        <v>#DIV/0!</v>
      </c>
      <c r="R122" s="99" t="e">
        <f t="shared" si="39"/>
        <v>#DIV/0!</v>
      </c>
      <c r="S122" s="99" t="e">
        <f t="shared" si="39"/>
        <v>#DIV/0!</v>
      </c>
      <c r="T122" s="99" t="e">
        <f t="shared" si="39"/>
        <v>#DIV/0!</v>
      </c>
      <c r="U122" s="99" t="e">
        <f t="shared" si="39"/>
        <v>#DIV/0!</v>
      </c>
    </row>
    <row r="123" spans="1:21" hidden="1" x14ac:dyDescent="0.25">
      <c r="A123" s="891" t="s">
        <v>174</v>
      </c>
      <c r="B123" s="891"/>
      <c r="C123" s="891"/>
      <c r="D123" s="891"/>
      <c r="E123" s="4"/>
      <c r="F123" s="4"/>
      <c r="G123" s="4"/>
      <c r="H123" s="4"/>
      <c r="I123" s="4"/>
      <c r="J123" s="4"/>
      <c r="K123" s="4"/>
      <c r="L123" s="4"/>
      <c r="M123" s="4"/>
      <c r="N123" s="4"/>
      <c r="O123" s="4"/>
    </row>
    <row r="124" spans="1:21" hidden="1" x14ac:dyDescent="0.25"/>
    <row r="125" spans="1:21" hidden="1" x14ac:dyDescent="0.25"/>
    <row r="126" spans="1:21" ht="10.9" hidden="1" customHeight="1" x14ac:dyDescent="0.25">
      <c r="B126" s="4">
        <v>13000</v>
      </c>
      <c r="D126" s="57">
        <v>1000</v>
      </c>
    </row>
    <row r="127" spans="1:21" ht="20.45" customHeight="1" x14ac:dyDescent="0.25">
      <c r="A127" s="895" t="s">
        <v>839</v>
      </c>
      <c r="B127" s="895"/>
      <c r="C127" s="895"/>
      <c r="D127" s="895"/>
      <c r="E127" s="895"/>
    </row>
    <row r="128" spans="1:21" ht="28.9" customHeight="1" x14ac:dyDescent="0.25">
      <c r="B128" t="s">
        <v>375</v>
      </c>
      <c r="C128" s="2">
        <f>'BP VERSION JANVIER 2023'!C33</f>
        <v>4005</v>
      </c>
    </row>
    <row r="129" spans="1:11" x14ac:dyDescent="0.25">
      <c r="I129" s="10"/>
    </row>
    <row r="130" spans="1:11" x14ac:dyDescent="0.25">
      <c r="A130" t="s">
        <v>177</v>
      </c>
    </row>
    <row r="132" spans="1:11" s="58" customFormat="1" x14ac:dyDescent="0.25">
      <c r="A132">
        <v>3</v>
      </c>
      <c r="B132" s="896" t="s">
        <v>180</v>
      </c>
      <c r="C132" s="897"/>
      <c r="D132" s="430">
        <f>4*C128</f>
        <v>16020</v>
      </c>
      <c r="F132" s="62"/>
      <c r="H132" s="428"/>
    </row>
    <row r="133" spans="1:11" s="58" customFormat="1" x14ac:dyDescent="0.25">
      <c r="A133">
        <v>4</v>
      </c>
      <c r="B133" s="889" t="s">
        <v>178</v>
      </c>
      <c r="C133" s="890"/>
      <c r="D133" s="430">
        <f>'BP VERSION JANVIER 2023'!J13</f>
        <v>17000</v>
      </c>
      <c r="E133" s="425"/>
      <c r="F133" s="426"/>
      <c r="K133" s="160"/>
    </row>
    <row r="134" spans="1:11" s="58" customFormat="1" x14ac:dyDescent="0.25">
      <c r="A134">
        <v>5</v>
      </c>
      <c r="B134" s="889" t="s">
        <v>179</v>
      </c>
      <c r="C134" s="890"/>
      <c r="D134" s="430">
        <f>'BP VERSION JANVIER 2023'!J21</f>
        <v>2802.14</v>
      </c>
      <c r="E134" s="425"/>
      <c r="F134" s="426"/>
      <c r="K134" s="160"/>
    </row>
    <row r="135" spans="1:11" s="58" customFormat="1" x14ac:dyDescent="0.25">
      <c r="A135">
        <v>6</v>
      </c>
      <c r="B135" s="889" t="s">
        <v>840</v>
      </c>
      <c r="C135" s="890"/>
      <c r="D135" s="431">
        <f>G57</f>
        <v>0</v>
      </c>
      <c r="E135" s="425"/>
      <c r="F135" s="426"/>
      <c r="H135" s="429"/>
      <c r="K135" s="160"/>
    </row>
    <row r="136" spans="1:11" s="58" customFormat="1" x14ac:dyDescent="0.25">
      <c r="A136">
        <v>7</v>
      </c>
      <c r="B136" s="889" t="s">
        <v>176</v>
      </c>
      <c r="C136" s="890"/>
      <c r="D136" s="430">
        <f>D133+D134+D135</f>
        <v>19802.14</v>
      </c>
      <c r="E136" s="427"/>
      <c r="F136" s="426"/>
      <c r="H136" s="429"/>
    </row>
    <row r="137" spans="1:11" s="58" customFormat="1" x14ac:dyDescent="0.25">
      <c r="A137">
        <v>8</v>
      </c>
      <c r="B137" s="889" t="s">
        <v>181</v>
      </c>
      <c r="C137" s="890"/>
      <c r="D137" s="430">
        <f>E98+E99</f>
        <v>1063.74</v>
      </c>
      <c r="H137" s="161"/>
      <c r="I137" s="161"/>
    </row>
    <row r="138" spans="1:11" s="58" customFormat="1" x14ac:dyDescent="0.25">
      <c r="A138">
        <v>9</v>
      </c>
      <c r="F138" s="294" t="s">
        <v>59</v>
      </c>
      <c r="H138" s="161"/>
      <c r="I138" s="161"/>
      <c r="K138" s="62"/>
    </row>
    <row r="139" spans="1:11" s="58" customFormat="1" x14ac:dyDescent="0.25">
      <c r="A139">
        <v>10</v>
      </c>
      <c r="B139" s="898" t="s">
        <v>187</v>
      </c>
      <c r="C139" s="899"/>
      <c r="D139" s="900"/>
      <c r="E139" s="59">
        <v>6.8000000000000005E-2</v>
      </c>
      <c r="F139" s="654">
        <f>IF(D136&lt;D132,D133*0.9825+D137,IF(D133&gt;D132,D132*0.9825+D133-D132+D137, D133*0.9825+D137))</f>
        <v>17783.390000000003</v>
      </c>
      <c r="H139" s="10"/>
      <c r="I139" s="162"/>
    </row>
    <row r="140" spans="1:11" s="58" customFormat="1" x14ac:dyDescent="0.25">
      <c r="A140">
        <v>11</v>
      </c>
      <c r="B140" s="898" t="s">
        <v>182</v>
      </c>
      <c r="C140" s="899"/>
      <c r="D140" s="900"/>
      <c r="E140" s="59">
        <v>6.8000000000000005E-2</v>
      </c>
      <c r="F140" s="655">
        <f>IF(D136&gt;D132,IF(D133&gt;D132,D134,IF((D132-D133)&gt;D134,D134*0.9825,(D132-D133)*0.9825+D134-(D132-D133))),D134*0.9825)</f>
        <v>2802.14</v>
      </c>
      <c r="H140" s="162"/>
      <c r="I140" s="162"/>
      <c r="J140" s="62"/>
    </row>
    <row r="141" spans="1:11" s="58" customFormat="1" x14ac:dyDescent="0.25">
      <c r="A141">
        <v>12</v>
      </c>
      <c r="B141" s="898" t="s">
        <v>183</v>
      </c>
      <c r="C141" s="899"/>
      <c r="D141" s="900"/>
      <c r="E141" s="59">
        <v>6.8000000000000005E-2</v>
      </c>
      <c r="F141" s="656">
        <f>IF(D136&lt;D132,D135*0.9825,IF(D133&gt;D132,D135,IF((D132-D133)&gt;D134,(D132-D133-D134)*0.9825+D135-(D132-D133-D134),D135)))</f>
        <v>0</v>
      </c>
      <c r="H141" s="62"/>
    </row>
    <row r="142" spans="1:11" s="58" customFormat="1" x14ac:dyDescent="0.25">
      <c r="A142">
        <v>13</v>
      </c>
      <c r="B142" s="898" t="s">
        <v>184</v>
      </c>
      <c r="C142" s="899"/>
      <c r="D142" s="900"/>
      <c r="E142" s="59">
        <v>2.9000000000000001E-2</v>
      </c>
      <c r="F142" s="657">
        <f>F139</f>
        <v>17783.390000000003</v>
      </c>
    </row>
    <row r="143" spans="1:11" s="58" customFormat="1" x14ac:dyDescent="0.25">
      <c r="A143">
        <v>14</v>
      </c>
      <c r="B143" s="898" t="s">
        <v>185</v>
      </c>
      <c r="C143" s="899"/>
      <c r="D143" s="900"/>
      <c r="E143" s="59">
        <v>2.9000000000000001E-2</v>
      </c>
      <c r="F143" s="657">
        <f>F140+F141</f>
        <v>2802.14</v>
      </c>
    </row>
    <row r="144" spans="1:11" s="58" customFormat="1" x14ac:dyDescent="0.25">
      <c r="A144">
        <v>15</v>
      </c>
      <c r="B144" s="898" t="s">
        <v>186</v>
      </c>
      <c r="C144" s="899"/>
      <c r="D144" s="900"/>
      <c r="E144" s="179">
        <f>'[6]Heures Supplémentaires'!D57</f>
        <v>0.11310000000000001</v>
      </c>
      <c r="F144" s="657">
        <f>D134</f>
        <v>2802.14</v>
      </c>
    </row>
  </sheetData>
  <mergeCells count="82">
    <mergeCell ref="B141:D141"/>
    <mergeCell ref="B142:D142"/>
    <mergeCell ref="B143:D143"/>
    <mergeCell ref="B144:D144"/>
    <mergeCell ref="B134:C134"/>
    <mergeCell ref="B135:C135"/>
    <mergeCell ref="B136:C136"/>
    <mergeCell ref="B137:C137"/>
    <mergeCell ref="B139:D139"/>
    <mergeCell ref="B140:D140"/>
    <mergeCell ref="B133:C133"/>
    <mergeCell ref="A113:D113"/>
    <mergeCell ref="A116:D116"/>
    <mergeCell ref="A117:D117"/>
    <mergeCell ref="A118:D118"/>
    <mergeCell ref="A119:D119"/>
    <mergeCell ref="A120:D120"/>
    <mergeCell ref="A121:D121"/>
    <mergeCell ref="A122:D122"/>
    <mergeCell ref="A123:D123"/>
    <mergeCell ref="A127:E127"/>
    <mergeCell ref="B132:C132"/>
    <mergeCell ref="A97:D97"/>
    <mergeCell ref="F102:I102"/>
    <mergeCell ref="A112:D112"/>
    <mergeCell ref="A98:D98"/>
    <mergeCell ref="A99:D99"/>
    <mergeCell ref="A100:D100"/>
    <mergeCell ref="A101:D101"/>
    <mergeCell ref="A102:D102"/>
    <mergeCell ref="A105:D105"/>
    <mergeCell ref="A106:D106"/>
    <mergeCell ref="A107:D107"/>
    <mergeCell ref="A110:D110"/>
    <mergeCell ref="A111:D111"/>
    <mergeCell ref="A92:D92"/>
    <mergeCell ref="A93:D93"/>
    <mergeCell ref="A94:D94"/>
    <mergeCell ref="A95:D95"/>
    <mergeCell ref="A96:D96"/>
    <mergeCell ref="A91:D91"/>
    <mergeCell ref="B51:C51"/>
    <mergeCell ref="G51:J51"/>
    <mergeCell ref="B52:K52"/>
    <mergeCell ref="A54:H54"/>
    <mergeCell ref="A82:C82"/>
    <mergeCell ref="A85:D85"/>
    <mergeCell ref="A86:D86"/>
    <mergeCell ref="A87:D87"/>
    <mergeCell ref="A88:D88"/>
    <mergeCell ref="A89:D89"/>
    <mergeCell ref="A90:D90"/>
    <mergeCell ref="B48:C48"/>
    <mergeCell ref="G48:H48"/>
    <mergeCell ref="B49:C49"/>
    <mergeCell ref="G49:H49"/>
    <mergeCell ref="B50:C50"/>
    <mergeCell ref="G50:H50"/>
    <mergeCell ref="B45:C45"/>
    <mergeCell ref="G45:H45"/>
    <mergeCell ref="B46:C46"/>
    <mergeCell ref="G46:H46"/>
    <mergeCell ref="B47:C47"/>
    <mergeCell ref="G47:H47"/>
    <mergeCell ref="B42:C42"/>
    <mergeCell ref="G42:H42"/>
    <mergeCell ref="B43:C43"/>
    <mergeCell ref="G43:H43"/>
    <mergeCell ref="B44:C44"/>
    <mergeCell ref="G44:H44"/>
    <mergeCell ref="B39:C39"/>
    <mergeCell ref="D39:F39"/>
    <mergeCell ref="G39:H39"/>
    <mergeCell ref="I39:K39"/>
    <mergeCell ref="B41:C41"/>
    <mergeCell ref="G41:H41"/>
    <mergeCell ref="A19:M19"/>
    <mergeCell ref="N19:Q19"/>
    <mergeCell ref="A21:K21"/>
    <mergeCell ref="N21:Q21"/>
    <mergeCell ref="B38:F38"/>
    <mergeCell ref="G38:K38"/>
  </mergeCells>
  <printOptions horizontalCentered="1" verticalCentered="1"/>
  <pageMargins left="0.31496062992125984" right="0.11811023622047245" top="0.15748031496062992" bottom="0.15748031496062992" header="0.31496062992125984" footer="0.31496062992125984"/>
  <pageSetup paperSize="9" scale="80" orientation="landscape" cellComments="asDisplayed" horizontalDpi="4294967293" verticalDpi="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A69" zoomScale="120" zoomScaleNormal="120" workbookViewId="0">
      <selection activeCell="A59" sqref="A59:B59"/>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15.75" customHeight="1" x14ac:dyDescent="0.3">
      <c r="A1" s="969" t="s">
        <v>222</v>
      </c>
      <c r="B1" s="969"/>
      <c r="C1" s="969"/>
      <c r="D1" s="969"/>
      <c r="E1" s="969"/>
      <c r="F1" s="969"/>
      <c r="G1" s="969"/>
      <c r="H1" s="970"/>
      <c r="I1" s="970"/>
      <c r="J1" s="970"/>
    </row>
    <row r="2" spans="1:10" s="24" customFormat="1" ht="15.75" customHeight="1" x14ac:dyDescent="0.3">
      <c r="A2" s="971" t="s">
        <v>0</v>
      </c>
      <c r="B2" s="972"/>
      <c r="C2" s="972"/>
      <c r="D2" s="973"/>
      <c r="E2" s="297"/>
      <c r="F2" s="974" t="s">
        <v>1</v>
      </c>
      <c r="G2" s="975"/>
      <c r="H2" s="975"/>
      <c r="I2" s="975"/>
      <c r="J2" s="976"/>
    </row>
    <row r="3" spans="1:10" s="24" customFormat="1" ht="15.75" customHeight="1" x14ac:dyDescent="0.3">
      <c r="A3" s="298" t="s">
        <v>2</v>
      </c>
      <c r="B3" s="977" t="str">
        <f>'MASQUE DE SAISIE '!G4</f>
        <v xml:space="preserve">Pharmacie L et D  de GAALON </v>
      </c>
      <c r="C3" s="978"/>
      <c r="D3" s="979"/>
      <c r="E3" s="299"/>
      <c r="F3" s="300" t="s">
        <v>2</v>
      </c>
      <c r="G3" s="967" t="str">
        <f>'MASQUE DE SAISIE '!E26</f>
        <v xml:space="preserve">MARTINO </v>
      </c>
      <c r="H3" s="967"/>
      <c r="I3" s="967"/>
      <c r="J3" s="967"/>
    </row>
    <row r="4" spans="1:10" s="24" customFormat="1" ht="15.75" customHeight="1" x14ac:dyDescent="0.3">
      <c r="A4" s="298" t="s">
        <v>3</v>
      </c>
      <c r="B4" s="977" t="str">
        <f>'MASQUE DE SAISIE '!G5</f>
        <v xml:space="preserve">29 Rue Clémenceau  22430 Erquy </v>
      </c>
      <c r="C4" s="978"/>
      <c r="D4" s="979"/>
      <c r="E4" s="299"/>
      <c r="F4" s="300" t="s">
        <v>4</v>
      </c>
      <c r="G4" s="967" t="str">
        <f>'MASQUE DE SAISIE '!E27</f>
        <v>Rassa</v>
      </c>
      <c r="H4" s="967"/>
      <c r="I4" s="967"/>
      <c r="J4" s="967"/>
    </row>
    <row r="5" spans="1:10" s="24" customFormat="1" ht="15.75" customHeight="1" x14ac:dyDescent="0.3">
      <c r="A5" s="298"/>
      <c r="B5" s="965"/>
      <c r="C5" s="966"/>
      <c r="D5" s="867"/>
      <c r="E5" s="299"/>
      <c r="F5" s="300" t="s">
        <v>5</v>
      </c>
      <c r="G5" s="967" t="str">
        <f>'MASQUE DE SAISIE '!E29</f>
        <v>Préparatrice en Pharmacie</v>
      </c>
      <c r="H5" s="967"/>
      <c r="I5" s="967"/>
      <c r="J5" s="967"/>
    </row>
    <row r="6" spans="1:10" s="24" customFormat="1" ht="15.75" customHeight="1" x14ac:dyDescent="0.3">
      <c r="A6" s="298" t="s">
        <v>6</v>
      </c>
      <c r="B6" s="863">
        <f>'MASQUE DE SAISIE '!G6</f>
        <v>4980785750020</v>
      </c>
      <c r="C6" s="864"/>
      <c r="D6" s="865"/>
      <c r="E6" s="301"/>
      <c r="F6" s="300" t="s">
        <v>7</v>
      </c>
      <c r="G6" s="967">
        <f>'MASQUE DE SAISIE '!E30</f>
        <v>290</v>
      </c>
      <c r="H6" s="967"/>
      <c r="I6" s="967"/>
      <c r="J6" s="967"/>
    </row>
    <row r="7" spans="1:10" s="24" customFormat="1" ht="15.75" customHeight="1" x14ac:dyDescent="0.3">
      <c r="A7" s="298" t="s">
        <v>8</v>
      </c>
      <c r="B7" s="965" t="str">
        <f>'MASQUE DE SAISIE '!G7</f>
        <v>4773Z</v>
      </c>
      <c r="C7" s="966"/>
      <c r="D7" s="867"/>
      <c r="E7" s="299"/>
      <c r="F7" s="300" t="s">
        <v>9</v>
      </c>
      <c r="G7" s="968" t="str">
        <f>'MASQUE DE SAISIE '!E31</f>
        <v>2.96.02.297.820. 957</v>
      </c>
      <c r="H7" s="968"/>
      <c r="I7" s="968"/>
      <c r="J7" s="968"/>
    </row>
    <row r="8" spans="1:10" s="24" customFormat="1" ht="15.75" customHeight="1" x14ac:dyDescent="0.3">
      <c r="A8" s="298" t="s">
        <v>10</v>
      </c>
      <c r="B8" s="863"/>
      <c r="C8" s="864"/>
      <c r="D8" s="865"/>
      <c r="E8" s="301"/>
      <c r="F8" s="302" t="s">
        <v>3</v>
      </c>
      <c r="G8" s="967" t="str">
        <f>'MASQUE DE SAISIE '!E28</f>
        <v xml:space="preserve">2 Avenue du Val Fleuri 22520 Binic </v>
      </c>
      <c r="H8" s="967"/>
      <c r="I8" s="967"/>
      <c r="J8" s="967"/>
    </row>
    <row r="9" spans="1:10" s="24" customFormat="1" ht="15.75" customHeight="1" x14ac:dyDescent="0.3">
      <c r="A9" s="298" t="s">
        <v>11</v>
      </c>
      <c r="B9" s="303">
        <f>'MASQUE DE SAISIE '!G9</f>
        <v>40</v>
      </c>
      <c r="C9" s="980" t="str">
        <f>IF('MASQUE DE SAISIE '!E34 = "","",'MASQUE DE SAISIE '!E34 )</f>
        <v/>
      </c>
      <c r="D9" s="867"/>
      <c r="E9" s="299"/>
      <c r="F9" s="868" t="s">
        <v>12</v>
      </c>
      <c r="G9" s="869"/>
      <c r="H9" s="304"/>
      <c r="I9" s="305">
        <f>'MASQUE DE SAISIE '!E33</f>
        <v>2</v>
      </c>
      <c r="J9" s="305" t="str">
        <f>'MASQUE DE SAISIE '!E32</f>
        <v>C</v>
      </c>
    </row>
    <row r="10" spans="1:10" s="24" customFormat="1" ht="15.75" customHeight="1" x14ac:dyDescent="0.3">
      <c r="A10" s="307" t="s">
        <v>13</v>
      </c>
      <c r="B10" s="308">
        <f>'MASQUE DE SAISIE '!E46</f>
        <v>171.67</v>
      </c>
      <c r="C10" s="305" t="s">
        <v>14</v>
      </c>
      <c r="D10" s="411">
        <f>'MASQUE DE SAISIE '!E43</f>
        <v>12.02</v>
      </c>
      <c r="E10" s="299"/>
      <c r="F10" s="965" t="s">
        <v>223</v>
      </c>
      <c r="G10" s="867"/>
      <c r="H10" s="357">
        <f>'MASQUE DE SAISIE '!E38</f>
        <v>46296</v>
      </c>
      <c r="I10" s="309" t="s">
        <v>15</v>
      </c>
      <c r="J10" s="357">
        <f>'MASQUE DE SAISIE '!E39</f>
        <v>46326</v>
      </c>
    </row>
    <row r="11" spans="1:10" s="24" customFormat="1" ht="33.75" customHeight="1" x14ac:dyDescent="0.3">
      <c r="A11" s="310"/>
      <c r="B11" s="955" t="s">
        <v>281</v>
      </c>
      <c r="C11" s="956"/>
      <c r="D11" s="957"/>
      <c r="E11" s="311"/>
      <c r="F11" s="310" t="s">
        <v>16</v>
      </c>
      <c r="G11" s="358">
        <f>'MASQUE DE SAISIE '!E39</f>
        <v>46326</v>
      </c>
      <c r="H11" s="63"/>
      <c r="I11" s="63"/>
      <c r="J11" s="359"/>
    </row>
    <row r="12" spans="1:10" s="24" customFormat="1" ht="15.75" customHeight="1" x14ac:dyDescent="0.3">
      <c r="A12" s="958"/>
      <c r="B12" s="959"/>
      <c r="C12" s="959"/>
      <c r="D12" s="959"/>
      <c r="E12" s="959"/>
      <c r="F12" s="959"/>
      <c r="G12" s="959"/>
      <c r="H12" s="959"/>
      <c r="I12" s="959"/>
      <c r="J12" s="959"/>
    </row>
    <row r="13" spans="1:10" s="24" customFormat="1" ht="18.600000000000001" customHeight="1" x14ac:dyDescent="0.3">
      <c r="A13" s="960" t="s">
        <v>17</v>
      </c>
      <c r="B13" s="961"/>
      <c r="C13" s="961"/>
      <c r="D13" s="961"/>
      <c r="E13" s="961"/>
      <c r="F13" s="962"/>
      <c r="G13" s="313">
        <f>+'MASQUE DE SAISIE '!E42</f>
        <v>151.66999999999999</v>
      </c>
      <c r="H13" s="310" t="s">
        <v>18</v>
      </c>
      <c r="I13" s="314">
        <f>J13/G13</f>
        <v>112.08544867145778</v>
      </c>
      <c r="J13" s="315">
        <f>+'MASQUE DE SAISIE '!E41</f>
        <v>17000</v>
      </c>
    </row>
    <row r="14" spans="1:10" s="24" customFormat="1" ht="18.600000000000001" hidden="1" customHeight="1" x14ac:dyDescent="0.3">
      <c r="A14" s="960" t="s">
        <v>777</v>
      </c>
      <c r="B14" s="961"/>
      <c r="C14" s="961"/>
      <c r="D14" s="961"/>
      <c r="E14" s="961"/>
      <c r="F14" s="962"/>
      <c r="G14" s="310"/>
      <c r="H14" s="310"/>
      <c r="I14" s="314"/>
      <c r="J14" s="315"/>
    </row>
    <row r="15" spans="1:10" s="24" customFormat="1" ht="18.600000000000001" hidden="1" customHeight="1" x14ac:dyDescent="0.3">
      <c r="A15" s="960" t="s">
        <v>380</v>
      </c>
      <c r="B15" s="961"/>
      <c r="C15" s="961"/>
      <c r="D15" s="961"/>
      <c r="E15" s="961"/>
      <c r="F15" s="962"/>
      <c r="G15" s="316"/>
      <c r="H15" s="317"/>
      <c r="I15" s="314"/>
      <c r="J15" s="315"/>
    </row>
    <row r="16" spans="1:10" s="24" customFormat="1" ht="18.600000000000001" hidden="1" customHeight="1" x14ac:dyDescent="0.3">
      <c r="A16" s="960" t="s">
        <v>381</v>
      </c>
      <c r="B16" s="961"/>
      <c r="C16" s="961"/>
      <c r="D16" s="961"/>
      <c r="E16" s="961"/>
      <c r="F16" s="962"/>
      <c r="G16" s="316"/>
      <c r="H16" s="317"/>
      <c r="I16" s="314"/>
      <c r="J16" s="315"/>
    </row>
    <row r="17" spans="1:10" s="24" customFormat="1" ht="18.600000000000001" hidden="1" customHeight="1" x14ac:dyDescent="0.3">
      <c r="A17" s="960" t="s">
        <v>19</v>
      </c>
      <c r="B17" s="961"/>
      <c r="C17" s="961"/>
      <c r="D17" s="961"/>
      <c r="E17" s="961"/>
      <c r="F17" s="962"/>
      <c r="G17" s="316"/>
      <c r="H17" s="317" t="s">
        <v>18</v>
      </c>
      <c r="I17" s="314"/>
      <c r="J17" s="315"/>
    </row>
    <row r="18" spans="1:10" s="24" customFormat="1" ht="18.600000000000001" hidden="1" customHeight="1" x14ac:dyDescent="0.3">
      <c r="A18" s="960" t="s">
        <v>225</v>
      </c>
      <c r="B18" s="961"/>
      <c r="C18" s="961"/>
      <c r="D18" s="961"/>
      <c r="E18" s="961"/>
      <c r="F18" s="962"/>
      <c r="G18" s="316"/>
      <c r="H18" s="317" t="s">
        <v>18</v>
      </c>
      <c r="I18" s="314"/>
      <c r="J18" s="315">
        <f t="shared" ref="J18:J21" si="0">ROUND(G18*I18,2)</f>
        <v>0</v>
      </c>
    </row>
    <row r="19" spans="1:10" s="24" customFormat="1" ht="18.600000000000001" hidden="1" customHeight="1" x14ac:dyDescent="0.3">
      <c r="A19" s="960" t="s">
        <v>226</v>
      </c>
      <c r="B19" s="961"/>
      <c r="C19" s="961"/>
      <c r="D19" s="961"/>
      <c r="E19" s="961"/>
      <c r="F19" s="962"/>
      <c r="G19" s="313"/>
      <c r="H19" s="317" t="s">
        <v>18</v>
      </c>
      <c r="I19" s="314">
        <f>J13*1.25/G13</f>
        <v>140.10681083932224</v>
      </c>
      <c r="J19" s="315">
        <f t="shared" si="0"/>
        <v>0</v>
      </c>
    </row>
    <row r="20" spans="1:10" s="24" customFormat="1" ht="18.600000000000001" hidden="1" customHeight="1" x14ac:dyDescent="0.3">
      <c r="A20" s="960" t="s">
        <v>227</v>
      </c>
      <c r="B20" s="961"/>
      <c r="C20" s="961"/>
      <c r="D20" s="961"/>
      <c r="E20" s="961"/>
      <c r="F20" s="962"/>
      <c r="G20" s="316"/>
      <c r="H20" s="317" t="s">
        <v>18</v>
      </c>
      <c r="I20" s="314"/>
      <c r="J20" s="315">
        <f t="shared" si="0"/>
        <v>0</v>
      </c>
    </row>
    <row r="21" spans="1:10" s="24" customFormat="1" ht="18.600000000000001" customHeight="1" x14ac:dyDescent="0.3">
      <c r="A21" s="960" t="s">
        <v>228</v>
      </c>
      <c r="B21" s="961"/>
      <c r="C21" s="961"/>
      <c r="D21" s="961"/>
      <c r="E21" s="961"/>
      <c r="F21" s="962"/>
      <c r="G21" s="432">
        <f>'MASQUE DE SAISIE '!E45</f>
        <v>20</v>
      </c>
      <c r="H21" s="317" t="s">
        <v>18</v>
      </c>
      <c r="I21" s="314">
        <f>ROUND(((J13+J16)*1.25/G13),6)</f>
        <v>140.10681099999999</v>
      </c>
      <c r="J21" s="315">
        <f t="shared" si="0"/>
        <v>2802.14</v>
      </c>
    </row>
    <row r="22" spans="1:10" s="24" customFormat="1" ht="18.600000000000001" hidden="1" customHeight="1" x14ac:dyDescent="0.3">
      <c r="A22" s="960" t="s">
        <v>229</v>
      </c>
      <c r="B22" s="961"/>
      <c r="C22" s="961"/>
      <c r="D22" s="961"/>
      <c r="E22" s="961"/>
      <c r="F22" s="962"/>
      <c r="G22" s="316"/>
      <c r="H22" s="317" t="s">
        <v>20</v>
      </c>
      <c r="I22" s="310"/>
      <c r="J22" s="315"/>
    </row>
    <row r="23" spans="1:10" s="24" customFormat="1" ht="18.600000000000001" hidden="1" customHeight="1" x14ac:dyDescent="0.3">
      <c r="A23" s="960" t="s">
        <v>473</v>
      </c>
      <c r="B23" s="961"/>
      <c r="C23" s="961"/>
      <c r="D23" s="961"/>
      <c r="E23" s="961"/>
      <c r="F23" s="962"/>
      <c r="G23" s="312"/>
      <c r="H23" s="318"/>
      <c r="I23" s="306"/>
      <c r="J23" s="319"/>
    </row>
    <row r="24" spans="1:10" s="24" customFormat="1" ht="18.600000000000001" hidden="1" customHeight="1" x14ac:dyDescent="0.3">
      <c r="A24" s="960" t="s">
        <v>21</v>
      </c>
      <c r="B24" s="961"/>
      <c r="C24" s="961"/>
      <c r="D24" s="961"/>
      <c r="E24" s="961"/>
      <c r="F24" s="962"/>
      <c r="G24" s="312"/>
      <c r="H24" s="318"/>
      <c r="I24" s="306"/>
      <c r="J24" s="319"/>
    </row>
    <row r="25" spans="1:10" s="24" customFormat="1" ht="18.600000000000001" hidden="1" customHeight="1" x14ac:dyDescent="0.3">
      <c r="A25" s="960" t="s">
        <v>22</v>
      </c>
      <c r="B25" s="961"/>
      <c r="C25" s="961"/>
      <c r="D25" s="961"/>
      <c r="E25" s="961"/>
      <c r="F25" s="962"/>
      <c r="G25" s="312"/>
      <c r="H25" s="318"/>
      <c r="I25" s="306"/>
      <c r="J25" s="319"/>
    </row>
    <row r="26" spans="1:10" s="24" customFormat="1" ht="18.600000000000001" hidden="1" customHeight="1" x14ac:dyDescent="0.3">
      <c r="A26" s="844" t="s">
        <v>23</v>
      </c>
      <c r="B26" s="835"/>
      <c r="C26" s="835"/>
      <c r="D26" s="835"/>
      <c r="E26" s="835"/>
      <c r="F26" s="836"/>
      <c r="G26" s="312"/>
      <c r="H26" s="318"/>
      <c r="I26" s="306"/>
      <c r="J26" s="319"/>
    </row>
    <row r="27" spans="1:10" s="24" customFormat="1" ht="18.600000000000001" hidden="1" customHeight="1" x14ac:dyDescent="0.3">
      <c r="A27" s="844" t="s">
        <v>24</v>
      </c>
      <c r="B27" s="835"/>
      <c r="C27" s="835"/>
      <c r="D27" s="835"/>
      <c r="E27" s="835"/>
      <c r="F27" s="836"/>
      <c r="G27" s="312"/>
      <c r="H27" s="318"/>
      <c r="I27" s="306"/>
      <c r="J27" s="319"/>
    </row>
    <row r="28" spans="1:10" s="24" customFormat="1" ht="18.600000000000001" hidden="1" customHeight="1" x14ac:dyDescent="0.3">
      <c r="A28" s="844" t="s">
        <v>25</v>
      </c>
      <c r="B28" s="835"/>
      <c r="C28" s="835"/>
      <c r="D28" s="835"/>
      <c r="E28" s="835"/>
      <c r="F28" s="836"/>
      <c r="G28" s="312"/>
      <c r="H28" s="318"/>
      <c r="I28" s="306"/>
      <c r="J28" s="319"/>
    </row>
    <row r="29" spans="1:10" s="24" customFormat="1" ht="18.600000000000001" hidden="1" customHeight="1" x14ac:dyDescent="0.3">
      <c r="A29" s="844" t="s">
        <v>26</v>
      </c>
      <c r="B29" s="835"/>
      <c r="C29" s="835"/>
      <c r="D29" s="835"/>
      <c r="E29" s="835"/>
      <c r="F29" s="836"/>
      <c r="G29" s="312"/>
      <c r="H29" s="318"/>
      <c r="I29" s="306"/>
      <c r="J29" s="319"/>
    </row>
    <row r="30" spans="1:10" s="24" customFormat="1" ht="18.600000000000001" hidden="1" customHeight="1" x14ac:dyDescent="0.3">
      <c r="A30" s="844" t="s">
        <v>27</v>
      </c>
      <c r="B30" s="835"/>
      <c r="C30" s="835"/>
      <c r="D30" s="835"/>
      <c r="E30" s="835"/>
      <c r="F30" s="836"/>
      <c r="G30" s="312"/>
      <c r="H30" s="318"/>
      <c r="I30" s="306"/>
      <c r="J30" s="319"/>
    </row>
    <row r="31" spans="1:10" s="24" customFormat="1" ht="18.600000000000001" hidden="1" customHeight="1" x14ac:dyDescent="0.3">
      <c r="A31" s="844" t="s">
        <v>28</v>
      </c>
      <c r="B31" s="835"/>
      <c r="C31" s="835"/>
      <c r="D31" s="835"/>
      <c r="E31" s="835"/>
      <c r="F31" s="836"/>
      <c r="G31" s="312"/>
      <c r="H31" s="318"/>
      <c r="I31" s="306"/>
      <c r="J31" s="319"/>
    </row>
    <row r="32" spans="1:10" s="24" customFormat="1" ht="18.600000000000001" hidden="1" customHeight="1" x14ac:dyDescent="0.3">
      <c r="A32" s="844"/>
      <c r="B32" s="835"/>
      <c r="C32" s="835"/>
      <c r="D32" s="835"/>
      <c r="E32" s="835"/>
      <c r="F32" s="836"/>
      <c r="G32" s="312"/>
      <c r="H32" s="318"/>
      <c r="I32" s="306"/>
      <c r="J32" s="319"/>
    </row>
    <row r="33" spans="1:16" s="24" customFormat="1" ht="18.600000000000001" customHeight="1" x14ac:dyDescent="0.3">
      <c r="A33" s="951" t="s">
        <v>29</v>
      </c>
      <c r="B33" s="952"/>
      <c r="C33" s="320">
        <f>'MASQUE DE SAISIE '!E44</f>
        <v>4005</v>
      </c>
      <c r="D33" s="838" t="s">
        <v>30</v>
      </c>
      <c r="E33" s="839"/>
      <c r="F33" s="839"/>
      <c r="G33" s="839"/>
      <c r="H33" s="839"/>
      <c r="I33" s="840"/>
      <c r="J33" s="433">
        <f>SUM(J13:J32)</f>
        <v>19802.14</v>
      </c>
    </row>
    <row r="34" spans="1:16" s="20" customFormat="1" ht="24" customHeight="1" x14ac:dyDescent="0.2">
      <c r="A34" s="953" t="s">
        <v>31</v>
      </c>
      <c r="B34" s="953"/>
      <c r="C34" s="56" t="s">
        <v>32</v>
      </c>
      <c r="D34" s="360" t="s">
        <v>33</v>
      </c>
      <c r="E34" s="360" t="s">
        <v>34</v>
      </c>
      <c r="F34" s="361" t="s">
        <v>35</v>
      </c>
      <c r="G34" s="361" t="s">
        <v>36</v>
      </c>
      <c r="I34" s="21"/>
      <c r="J34" s="21"/>
      <c r="K34" s="22"/>
    </row>
    <row r="35" spans="1:16" ht="12" customHeight="1" x14ac:dyDescent="0.25">
      <c r="A35" s="954" t="s">
        <v>37</v>
      </c>
      <c r="B35" s="954"/>
      <c r="C35" s="1"/>
      <c r="D35" s="3"/>
      <c r="E35" s="3"/>
      <c r="F35" s="1"/>
      <c r="G35" s="1"/>
    </row>
    <row r="36" spans="1:16" ht="18.600000000000001" customHeight="1" x14ac:dyDescent="0.25">
      <c r="A36" s="781" t="s">
        <v>894</v>
      </c>
      <c r="B36" s="781"/>
      <c r="C36" s="13">
        <f>J33</f>
        <v>19802.14</v>
      </c>
      <c r="D36" s="33"/>
      <c r="E36" s="34">
        <f xml:space="preserve"> VLOOKUP(A36,Taux2026,4,FALSE)</f>
        <v>0.13</v>
      </c>
      <c r="F36" s="40">
        <f>ROUND(C36*D36,2)</f>
        <v>0</v>
      </c>
      <c r="G36" s="40">
        <f>ROUND(C36*E36,2)</f>
        <v>2574.2800000000002</v>
      </c>
      <c r="H36" s="528"/>
      <c r="I36" s="528"/>
      <c r="J36" s="2"/>
      <c r="O36" s="946"/>
      <c r="P36" s="946"/>
    </row>
    <row r="37" spans="1:16" ht="18.600000000000001" customHeight="1" x14ac:dyDescent="0.25">
      <c r="A37" s="781"/>
      <c r="B37" s="781"/>
      <c r="C37" s="39"/>
      <c r="D37" s="165"/>
      <c r="E37" s="34"/>
      <c r="F37" s="40"/>
      <c r="G37" s="13"/>
      <c r="H37" s="528"/>
      <c r="I37" s="528"/>
      <c r="O37" s="946"/>
      <c r="P37" s="946"/>
    </row>
    <row r="38" spans="1:16" ht="18.600000000000001" customHeight="1" x14ac:dyDescent="0.3">
      <c r="A38" s="947" t="s">
        <v>192</v>
      </c>
      <c r="B38" s="948"/>
      <c r="C38" s="13">
        <f>IF(I9=2,J33,0)</f>
        <v>19802.14</v>
      </c>
      <c r="D38" s="33">
        <f>'MASQUE DE SAISIE '!G15</f>
        <v>0.01</v>
      </c>
      <c r="E38" s="33">
        <f>'MASQUE DE SAISIE '!H15</f>
        <v>0.02</v>
      </c>
      <c r="F38" s="40">
        <f t="shared" ref="F38:F67" si="1">ROUND(C38*D38,2)</f>
        <v>198.02</v>
      </c>
      <c r="G38" s="13">
        <f t="shared" ref="G38:G70" si="2">ROUND(C38*E38,2)</f>
        <v>396.04</v>
      </c>
      <c r="H38" s="24"/>
      <c r="I38" s="2"/>
      <c r="O38" s="946"/>
      <c r="P38" s="946"/>
    </row>
    <row r="39" spans="1:16" ht="17.45" hidden="1" customHeight="1" x14ac:dyDescent="0.3">
      <c r="A39" s="947" t="s">
        <v>239</v>
      </c>
      <c r="B39" s="948"/>
      <c r="C39" s="40">
        <f>IF(I9=2,0,J33)</f>
        <v>0</v>
      </c>
      <c r="D39" s="33">
        <f>'MASQUE DE SAISIE '!G12</f>
        <v>0.01</v>
      </c>
      <c r="E39" s="33">
        <f>'MASQUE DE SAISIE '!H12</f>
        <v>0.02</v>
      </c>
      <c r="F39" s="40">
        <f t="shared" si="1"/>
        <v>0</v>
      </c>
      <c r="G39" s="13">
        <f t="shared" si="2"/>
        <v>0</v>
      </c>
      <c r="H39" s="24"/>
      <c r="I39" s="2"/>
      <c r="O39" s="946"/>
      <c r="P39" s="946"/>
    </row>
    <row r="40" spans="1:16" ht="18.600000000000001" hidden="1" customHeight="1" x14ac:dyDescent="0.3">
      <c r="A40" s="947" t="s">
        <v>243</v>
      </c>
      <c r="B40" s="948"/>
      <c r="C40" s="40">
        <f>C39</f>
        <v>0</v>
      </c>
      <c r="D40" s="33">
        <f>'MASQUE DE SAISIE '!G13</f>
        <v>0</v>
      </c>
      <c r="E40" s="33">
        <f>'MASQUE DE SAISIE '!H13</f>
        <v>0.02</v>
      </c>
      <c r="F40" s="40">
        <f t="shared" si="1"/>
        <v>0</v>
      </c>
      <c r="G40" s="13">
        <f t="shared" si="2"/>
        <v>0</v>
      </c>
      <c r="H40" s="24"/>
      <c r="I40" s="2"/>
      <c r="O40" s="946"/>
      <c r="P40" s="946"/>
    </row>
    <row r="41" spans="1:16" ht="18.600000000000001" customHeight="1" x14ac:dyDescent="0.3">
      <c r="A41" s="947" t="s">
        <v>244</v>
      </c>
      <c r="B41" s="948"/>
      <c r="C41" s="13">
        <f>C38</f>
        <v>19802.14</v>
      </c>
      <c r="D41" s="33">
        <f>'MASQUE DE SAISIE '!G16</f>
        <v>0</v>
      </c>
      <c r="E41" s="33">
        <f>+'MASQUE DE SAISIE '!H16</f>
        <v>0.02</v>
      </c>
      <c r="F41" s="40">
        <f t="shared" si="1"/>
        <v>0</v>
      </c>
      <c r="G41" s="13">
        <f t="shared" si="2"/>
        <v>396.04</v>
      </c>
      <c r="H41" s="524"/>
      <c r="I41" s="24"/>
      <c r="J41" s="42"/>
      <c r="O41" s="946"/>
      <c r="P41" s="946"/>
    </row>
    <row r="42" spans="1:16" ht="18.600000000000001" hidden="1" customHeight="1" x14ac:dyDescent="0.3">
      <c r="A42" s="781" t="s">
        <v>197</v>
      </c>
      <c r="B42" s="781"/>
      <c r="C42" s="40">
        <f>IF(I9=2,IF(E41=0,IF(J33&gt;C33,C33,J33),0),0)</f>
        <v>0</v>
      </c>
      <c r="D42" s="33"/>
      <c r="E42" s="34">
        <f>'MASQUE DE SAISIE '!H18</f>
        <v>0</v>
      </c>
      <c r="F42" s="40">
        <f>ROUND(C42*D42,2)</f>
        <v>0</v>
      </c>
      <c r="G42" s="13">
        <f>ROUND(C42*E42,2)</f>
        <v>0</v>
      </c>
      <c r="H42" s="524"/>
      <c r="I42" s="24"/>
      <c r="J42" s="42"/>
      <c r="O42" s="180"/>
      <c r="P42" s="180"/>
    </row>
    <row r="43" spans="1:16" ht="18.600000000000001" hidden="1" customHeight="1" x14ac:dyDescent="0.3">
      <c r="A43" s="827" t="s">
        <v>374</v>
      </c>
      <c r="B43" s="827"/>
      <c r="C43" s="213">
        <f>J33</f>
        <v>19802.14</v>
      </c>
      <c r="D43" s="33">
        <f>'MASQUE DE SAISIE '!G17</f>
        <v>0</v>
      </c>
      <c r="E43" s="34">
        <f>+'MASQUE DE SAISIE '!H17</f>
        <v>0</v>
      </c>
      <c r="F43" s="40">
        <f>ROUND(C43*D43,2)</f>
        <v>0</v>
      </c>
      <c r="G43" s="13">
        <f>ROUND(C43*E43,2)</f>
        <v>0</v>
      </c>
      <c r="H43" s="524"/>
      <c r="I43" s="24"/>
      <c r="J43" s="42"/>
      <c r="O43" s="180"/>
      <c r="P43" s="180"/>
    </row>
    <row r="44" spans="1:16" ht="18.600000000000001" hidden="1" customHeight="1" x14ac:dyDescent="0.3">
      <c r="A44" s="949"/>
      <c r="B44" s="950"/>
      <c r="C44" s="4"/>
      <c r="D44" s="4"/>
      <c r="E44" s="4"/>
      <c r="F44" s="4"/>
      <c r="G44" s="4"/>
      <c r="H44" s="524"/>
      <c r="I44" s="24"/>
      <c r="J44" s="24"/>
      <c r="O44" s="946"/>
      <c r="P44" s="946"/>
    </row>
    <row r="45" spans="1:16" ht="18.600000000000001" hidden="1" customHeight="1" x14ac:dyDescent="0.3">
      <c r="A45" s="937"/>
      <c r="B45" s="937"/>
      <c r="C45" s="13"/>
      <c r="D45" s="33"/>
      <c r="E45" s="34"/>
      <c r="F45" s="40"/>
      <c r="G45" s="13"/>
      <c r="H45" s="524"/>
      <c r="I45" s="24"/>
      <c r="J45" s="24"/>
      <c r="O45" s="946"/>
      <c r="P45" s="946"/>
    </row>
    <row r="46" spans="1:16" ht="18.600000000000001" hidden="1" customHeight="1" x14ac:dyDescent="0.3">
      <c r="A46" s="937"/>
      <c r="B46" s="937"/>
      <c r="C46" s="13"/>
      <c r="D46" s="33"/>
      <c r="E46" s="34"/>
      <c r="F46" s="40"/>
      <c r="G46" s="13"/>
      <c r="H46" s="524"/>
      <c r="I46" s="24"/>
      <c r="J46" s="24"/>
      <c r="O46" s="946"/>
      <c r="P46" s="946"/>
    </row>
    <row r="47" spans="1:16" ht="18.600000000000001" customHeight="1" x14ac:dyDescent="0.25">
      <c r="A47" s="939" t="s">
        <v>38</v>
      </c>
      <c r="B47" s="939"/>
      <c r="C47" s="15">
        <f>J33</f>
        <v>19802.14</v>
      </c>
      <c r="D47" s="33"/>
      <c r="E47" s="34">
        <f>'MASQUE DE SAISIE '!H21</f>
        <v>1.2999999999999999E-2</v>
      </c>
      <c r="F47" s="40">
        <f t="shared" si="1"/>
        <v>0</v>
      </c>
      <c r="G47" s="13">
        <f t="shared" si="2"/>
        <v>257.43</v>
      </c>
      <c r="H47" s="524"/>
      <c r="L47" s="945"/>
    </row>
    <row r="48" spans="1:16" ht="18.600000000000001" customHeight="1" x14ac:dyDescent="0.25">
      <c r="A48" s="939" t="s">
        <v>39</v>
      </c>
      <c r="B48" s="939"/>
      <c r="C48" s="16"/>
      <c r="D48" s="33"/>
      <c r="E48" s="34"/>
      <c r="F48" s="40"/>
      <c r="G48" s="13"/>
      <c r="H48" s="524"/>
      <c r="L48" s="945"/>
    </row>
    <row r="49" spans="1:17" ht="18" customHeight="1" x14ac:dyDescent="0.25">
      <c r="A49" s="827" t="s">
        <v>40</v>
      </c>
      <c r="B49" s="827"/>
      <c r="C49" s="40">
        <f>IF(J33&gt;C33,C33,J33)</f>
        <v>4005</v>
      </c>
      <c r="D49" s="33">
        <f>VLOOKUP(A49,TAUX2023,3,FALSE)</f>
        <v>6.9000000000000006E-2</v>
      </c>
      <c r="E49" s="34">
        <f xml:space="preserve"> VLOOKUP(A49,Taux2026,4,FALSE)</f>
        <v>8.5500000000000007E-2</v>
      </c>
      <c r="F49" s="40">
        <f t="shared" si="1"/>
        <v>276.35000000000002</v>
      </c>
      <c r="G49" s="13">
        <f t="shared" si="2"/>
        <v>342.43</v>
      </c>
      <c r="H49" s="524"/>
      <c r="I49" s="525"/>
      <c r="J49" s="525"/>
    </row>
    <row r="50" spans="1:17" ht="18" customHeight="1" x14ac:dyDescent="0.25">
      <c r="A50" s="827" t="s">
        <v>41</v>
      </c>
      <c r="B50" s="827"/>
      <c r="C50" s="13">
        <f>J33</f>
        <v>19802.14</v>
      </c>
      <c r="D50" s="33">
        <f>VLOOKUP(A50,TAUX2023,3,FALSE)</f>
        <v>4.0000000000000001E-3</v>
      </c>
      <c r="E50" s="34">
        <f xml:space="preserve"> VLOOKUP(A50,Taux2026,4,FALSE)</f>
        <v>2.1100000000000001E-2</v>
      </c>
      <c r="F50" s="40">
        <f t="shared" si="1"/>
        <v>79.209999999999994</v>
      </c>
      <c r="G50" s="13">
        <f t="shared" si="2"/>
        <v>417.83</v>
      </c>
      <c r="H50" s="528"/>
      <c r="I50" s="528"/>
      <c r="J50" s="525"/>
    </row>
    <row r="51" spans="1:17" ht="15.75" customHeight="1" x14ac:dyDescent="0.25">
      <c r="A51" s="827" t="s">
        <v>42</v>
      </c>
      <c r="B51" s="827"/>
      <c r="C51" s="13">
        <f>IF(J33&gt;C33,C33,J33)</f>
        <v>4005</v>
      </c>
      <c r="D51" s="165">
        <f>'BP FORMAT JUILLET 2023'!D53</f>
        <v>0</v>
      </c>
      <c r="E51" s="166">
        <f>'BP FORMAT JUILLET 2023'!E53</f>
        <v>1.4E-3</v>
      </c>
      <c r="F51" s="40">
        <f t="shared" si="1"/>
        <v>0</v>
      </c>
      <c r="G51" s="13">
        <f t="shared" si="2"/>
        <v>5.61</v>
      </c>
      <c r="H51" s="528"/>
      <c r="I51" s="528"/>
      <c r="J51" s="525"/>
      <c r="K51" s="6"/>
      <c r="M51" s="943"/>
      <c r="N51" s="943"/>
      <c r="O51" s="943"/>
    </row>
    <row r="52" spans="1:17" ht="15.75" customHeight="1" x14ac:dyDescent="0.25">
      <c r="A52" s="827" t="s">
        <v>43</v>
      </c>
      <c r="B52" s="827"/>
      <c r="C52" s="13">
        <f>IF(J33&gt;8*C33,7*C33,IF(J33&gt;C33,J33-C33,0))</f>
        <v>15797.14</v>
      </c>
      <c r="D52" s="165">
        <f>'BP FORMAT JUILLET 2023'!D54</f>
        <v>0</v>
      </c>
      <c r="E52" s="166">
        <f>'BP FORMAT JUILLET 2023'!E54</f>
        <v>1.4E-3</v>
      </c>
      <c r="F52" s="40">
        <f t="shared" si="1"/>
        <v>0</v>
      </c>
      <c r="G52" s="13">
        <f t="shared" si="2"/>
        <v>22.12</v>
      </c>
      <c r="H52" s="528"/>
      <c r="I52" s="528"/>
      <c r="J52" s="525"/>
      <c r="K52" s="6"/>
      <c r="M52" s="944"/>
      <c r="N52" s="944"/>
      <c r="O52" s="9"/>
      <c r="P52" s="11"/>
      <c r="Q52" s="9"/>
    </row>
    <row r="53" spans="1:17" ht="15.75" hidden="1" customHeight="1" x14ac:dyDescent="0.25">
      <c r="A53" s="937"/>
      <c r="B53" s="937"/>
      <c r="C53" s="13"/>
      <c r="D53" s="165"/>
      <c r="E53" s="166"/>
      <c r="F53" s="40"/>
      <c r="G53" s="13"/>
      <c r="H53" s="528"/>
      <c r="I53" s="528"/>
      <c r="J53" s="525"/>
      <c r="K53" s="6"/>
      <c r="M53" s="55"/>
      <c r="N53" s="55"/>
      <c r="O53" s="9"/>
      <c r="P53" s="11"/>
      <c r="Q53" s="9"/>
    </row>
    <row r="54" spans="1:17" ht="15.75" hidden="1" customHeight="1" x14ac:dyDescent="0.25">
      <c r="A54" s="937"/>
      <c r="B54" s="937"/>
      <c r="C54" s="13"/>
      <c r="D54" s="165"/>
      <c r="E54" s="166"/>
      <c r="F54" s="40"/>
      <c r="G54" s="13"/>
      <c r="H54" s="528"/>
      <c r="I54" s="528"/>
      <c r="J54" s="525"/>
      <c r="K54" s="6"/>
      <c r="M54" s="55"/>
      <c r="N54" s="55"/>
      <c r="O54" s="9"/>
      <c r="P54" s="11"/>
      <c r="Q54" s="9"/>
    </row>
    <row r="55" spans="1:17" ht="15.75" hidden="1" customHeight="1" x14ac:dyDescent="0.25">
      <c r="A55" s="937"/>
      <c r="B55" s="937"/>
      <c r="C55" s="169"/>
      <c r="D55" s="165"/>
      <c r="E55" s="166"/>
      <c r="F55" s="40"/>
      <c r="G55" s="13"/>
      <c r="H55" s="528"/>
      <c r="I55" s="528"/>
      <c r="J55" s="525"/>
      <c r="K55" s="6"/>
      <c r="M55" s="55"/>
      <c r="N55" s="55"/>
      <c r="O55" s="9"/>
      <c r="P55" s="11"/>
      <c r="Q55" s="9"/>
    </row>
    <row r="56" spans="1:17" ht="15.75" hidden="1" customHeight="1" x14ac:dyDescent="0.25">
      <c r="A56" s="937"/>
      <c r="B56" s="937"/>
      <c r="C56" s="13"/>
      <c r="D56" s="165"/>
      <c r="E56" s="166"/>
      <c r="F56" s="40"/>
      <c r="G56" s="13"/>
      <c r="H56" s="528"/>
      <c r="I56" s="528"/>
      <c r="J56" s="525"/>
      <c r="K56" s="6"/>
      <c r="M56" s="55"/>
      <c r="N56" s="55"/>
      <c r="O56" s="9"/>
      <c r="P56" s="11"/>
      <c r="Q56" s="9"/>
    </row>
    <row r="57" spans="1:17" ht="15.75" customHeight="1" x14ac:dyDescent="0.25">
      <c r="A57" s="942" t="s">
        <v>44</v>
      </c>
      <c r="B57" s="942"/>
      <c r="D57" s="33"/>
      <c r="E57" s="34"/>
      <c r="F57" s="40"/>
      <c r="G57" s="13"/>
      <c r="H57" s="528"/>
      <c r="I57" s="528"/>
      <c r="J57" s="525"/>
      <c r="M57" s="940"/>
      <c r="N57" s="940"/>
      <c r="P57" s="12"/>
      <c r="Q57" s="2"/>
    </row>
    <row r="58" spans="1:17" ht="15.6" customHeight="1" x14ac:dyDescent="0.25">
      <c r="A58" s="827" t="s">
        <v>893</v>
      </c>
      <c r="B58" s="827"/>
      <c r="C58" s="13">
        <f>J33</f>
        <v>19802.14</v>
      </c>
      <c r="D58" s="165"/>
      <c r="E58" s="166">
        <f xml:space="preserve"> VLOOKUP(A58,Taux2026,4,FALSE)</f>
        <v>5.2499999999999998E-2</v>
      </c>
      <c r="F58" s="40">
        <f t="shared" si="1"/>
        <v>0</v>
      </c>
      <c r="G58" s="13">
        <f>ROUND(C58*E58,2)</f>
        <v>1039.6099999999999</v>
      </c>
      <c r="H58" s="528"/>
      <c r="I58" s="528"/>
      <c r="J58" s="525"/>
      <c r="M58" s="48"/>
      <c r="N58" s="48"/>
      <c r="P58" s="12"/>
      <c r="Q58" s="2"/>
    </row>
    <row r="59" spans="1:17" ht="15.6" customHeight="1" x14ac:dyDescent="0.25">
      <c r="A59" s="827"/>
      <c r="B59" s="827"/>
      <c r="C59" s="40"/>
      <c r="D59" s="165"/>
      <c r="E59" s="166"/>
      <c r="F59" s="40"/>
      <c r="G59" s="13"/>
      <c r="H59" s="528"/>
      <c r="I59" s="528"/>
      <c r="J59" s="525"/>
      <c r="M59" s="48"/>
      <c r="N59" s="48"/>
      <c r="P59" s="12"/>
      <c r="Q59" s="2"/>
    </row>
    <row r="60" spans="1:17" ht="24.6" customHeight="1" x14ac:dyDescent="0.25">
      <c r="A60" s="939" t="s">
        <v>45</v>
      </c>
      <c r="B60" s="939"/>
      <c r="C60" s="18"/>
      <c r="D60" s="165"/>
      <c r="E60" s="166"/>
      <c r="F60" s="40">
        <f t="shared" si="1"/>
        <v>0</v>
      </c>
      <c r="G60" s="13"/>
      <c r="H60" s="528"/>
      <c r="I60" s="528"/>
      <c r="J60" s="525"/>
      <c r="M60" s="940"/>
      <c r="N60" s="940"/>
      <c r="O60" s="10"/>
    </row>
    <row r="61" spans="1:17" ht="16.5" customHeight="1" x14ac:dyDescent="0.25">
      <c r="A61" s="941" t="s">
        <v>200</v>
      </c>
      <c r="B61" s="941"/>
      <c r="C61" s="39">
        <f>IF(J33&gt;4*C33,4*C33,J33)</f>
        <v>16020</v>
      </c>
      <c r="D61" s="165"/>
      <c r="E61" s="166">
        <f>IF(H10&gt;=45778,4%,4.05%)+'TABLE DES TAUX 2026 '!D14</f>
        <v>4.2500000000000003E-2</v>
      </c>
      <c r="F61" s="40">
        <f t="shared" si="1"/>
        <v>0</v>
      </c>
      <c r="G61" s="13">
        <f t="shared" si="2"/>
        <v>680.85</v>
      </c>
      <c r="H61" s="528"/>
      <c r="I61" s="528"/>
      <c r="J61" s="525"/>
      <c r="M61" s="48"/>
      <c r="N61" s="48"/>
      <c r="O61" s="10"/>
    </row>
    <row r="62" spans="1:17" ht="4.5" hidden="1" customHeight="1" x14ac:dyDescent="0.25">
      <c r="A62" s="825"/>
      <c r="B62" s="766"/>
      <c r="C62" s="39"/>
      <c r="D62" s="165"/>
      <c r="E62" s="166"/>
      <c r="F62" s="40"/>
      <c r="G62" s="13"/>
      <c r="H62" s="528"/>
      <c r="I62" s="528"/>
      <c r="M62" s="48"/>
      <c r="N62" s="48"/>
      <c r="O62" s="10"/>
    </row>
    <row r="63" spans="1:17" ht="18" customHeight="1" x14ac:dyDescent="0.25">
      <c r="A63" s="763" t="s">
        <v>267</v>
      </c>
      <c r="B63" s="764"/>
      <c r="C63" s="39">
        <f>IF(I9=2,C61,0)</f>
        <v>16020</v>
      </c>
      <c r="D63" s="167">
        <f>VLOOKUP(A63,TAUX2023,3,FALSE)</f>
        <v>2.4000000000000001E-4</v>
      </c>
      <c r="E63" s="168">
        <f xml:space="preserve"> VLOOKUP(A63,Taux2026,4,FALSE)</f>
        <v>3.6000000000000002E-4</v>
      </c>
      <c r="F63" s="40">
        <f t="shared" si="1"/>
        <v>3.84</v>
      </c>
      <c r="G63" s="13">
        <f t="shared" si="2"/>
        <v>5.77</v>
      </c>
      <c r="H63" s="528"/>
      <c r="I63" s="528"/>
      <c r="M63" s="48"/>
      <c r="N63" s="48"/>
      <c r="O63" s="10"/>
    </row>
    <row r="64" spans="1:17" ht="25.15" customHeight="1" x14ac:dyDescent="0.25">
      <c r="A64" s="942" t="s">
        <v>782</v>
      </c>
      <c r="B64" s="942"/>
      <c r="C64" s="13"/>
      <c r="D64" s="167"/>
      <c r="E64" s="168"/>
      <c r="F64" s="40">
        <f t="shared" si="1"/>
        <v>0</v>
      </c>
      <c r="G64" s="13">
        <f>E118</f>
        <v>1096.31</v>
      </c>
      <c r="H64" s="528"/>
      <c r="I64" s="528"/>
      <c r="M64" s="940"/>
      <c r="N64" s="940"/>
      <c r="O64" s="5"/>
    </row>
    <row r="65" spans="1:12" ht="33.75" hidden="1" customHeight="1" x14ac:dyDescent="0.25">
      <c r="A65" s="936" t="s">
        <v>47</v>
      </c>
      <c r="B65" s="936"/>
      <c r="C65" s="18"/>
      <c r="D65" s="33"/>
      <c r="E65" s="14"/>
      <c r="F65" s="40"/>
      <c r="G65" s="13"/>
      <c r="H65" s="528"/>
      <c r="I65" s="528"/>
    </row>
    <row r="66" spans="1:12" ht="21.75" customHeight="1" x14ac:dyDescent="0.25">
      <c r="A66" s="781" t="s">
        <v>48</v>
      </c>
      <c r="B66" s="781"/>
      <c r="C66" s="40">
        <f>'HEURES SUPPLEMENTAIRES '!F136</f>
        <v>17511.730000000003</v>
      </c>
      <c r="D66" s="165">
        <f>VLOOKUP(A66,TAUX2023,3,FALSE)</f>
        <v>6.8000000000000005E-2</v>
      </c>
      <c r="E66" s="178"/>
      <c r="F66" s="40">
        <f t="shared" si="1"/>
        <v>1190.8</v>
      </c>
      <c r="G66" s="13"/>
      <c r="H66" s="528"/>
      <c r="I66" s="528"/>
      <c r="J66" s="2"/>
    </row>
    <row r="67" spans="1:12" ht="24" customHeight="1" x14ac:dyDescent="0.25">
      <c r="A67" s="781" t="s">
        <v>49</v>
      </c>
      <c r="B67" s="781"/>
      <c r="C67" s="13">
        <f>C66</f>
        <v>17511.730000000003</v>
      </c>
      <c r="D67" s="165">
        <f>VLOOKUP(A67,TAUX2023,3,FALSE)</f>
        <v>2.9000000000000001E-2</v>
      </c>
      <c r="E67" s="178"/>
      <c r="F67" s="40">
        <f t="shared" si="1"/>
        <v>507.84</v>
      </c>
      <c r="G67" s="13"/>
      <c r="H67" s="528"/>
      <c r="I67" s="528"/>
      <c r="J67" s="2"/>
      <c r="K67" s="2"/>
    </row>
    <row r="68" spans="1:12" ht="24" customHeight="1" x14ac:dyDescent="0.25">
      <c r="A68" s="781" t="s">
        <v>50</v>
      </c>
      <c r="B68" s="781"/>
      <c r="C68" s="13">
        <f>'BP FORMAT JUILLET 2023'!C67</f>
        <v>2802.14</v>
      </c>
      <c r="D68" s="165">
        <f>+D66</f>
        <v>6.8000000000000005E-2</v>
      </c>
      <c r="E68" s="178"/>
      <c r="F68" s="40">
        <f>ROUND(C68*D68,2)</f>
        <v>190.55</v>
      </c>
      <c r="G68" s="13">
        <f t="shared" si="2"/>
        <v>0</v>
      </c>
      <c r="H68" s="524"/>
      <c r="J68" s="2"/>
      <c r="K68" s="2"/>
    </row>
    <row r="69" spans="1:12" ht="24" customHeight="1" x14ac:dyDescent="0.25">
      <c r="A69" s="781" t="s">
        <v>51</v>
      </c>
      <c r="B69" s="781"/>
      <c r="C69" s="13">
        <f>'BP FORMAT JUILLET 2023'!C68</f>
        <v>0</v>
      </c>
      <c r="D69" s="165">
        <f>+D68</f>
        <v>6.8000000000000005E-2</v>
      </c>
      <c r="E69" s="178"/>
      <c r="F69" s="40">
        <f>ROUND(C69*D69,2)</f>
        <v>0</v>
      </c>
      <c r="G69" s="13">
        <f t="shared" si="2"/>
        <v>0</v>
      </c>
      <c r="H69" s="524"/>
      <c r="J69" s="2"/>
      <c r="K69" s="2"/>
    </row>
    <row r="70" spans="1:12" ht="24" customHeight="1" x14ac:dyDescent="0.25">
      <c r="A70" s="781" t="s">
        <v>52</v>
      </c>
      <c r="B70" s="781"/>
      <c r="C70" s="13">
        <f>C68+C69</f>
        <v>2802.14</v>
      </c>
      <c r="D70" s="165">
        <f>+D67</f>
        <v>2.9000000000000001E-2</v>
      </c>
      <c r="E70" s="178"/>
      <c r="F70" s="40">
        <f>ROUND(C70*D70,2)</f>
        <v>81.260000000000005</v>
      </c>
      <c r="G70" s="13">
        <f t="shared" si="2"/>
        <v>0</v>
      </c>
      <c r="H70" s="524"/>
      <c r="J70" s="2"/>
      <c r="K70" s="2"/>
    </row>
    <row r="71" spans="1:12" ht="33.75" customHeight="1" x14ac:dyDescent="0.25">
      <c r="A71" s="936" t="s">
        <v>220</v>
      </c>
      <c r="B71" s="936"/>
      <c r="C71" s="13"/>
      <c r="D71" s="33"/>
      <c r="E71" s="14"/>
      <c r="F71" s="13"/>
      <c r="G71" s="40">
        <f>-'RGDU '!D25-'HEURES SUPPLEMENTAIRES '!A145</f>
        <v>-10</v>
      </c>
      <c r="H71" s="524"/>
      <c r="J71" s="2"/>
      <c r="K71" s="2"/>
    </row>
    <row r="72" spans="1:12" ht="33.75" customHeight="1" x14ac:dyDescent="0.25">
      <c r="A72" s="937" t="s">
        <v>53</v>
      </c>
      <c r="B72" s="937"/>
      <c r="C72" s="50">
        <f>'HEURES SUPPLEMENTAIRES '!F141</f>
        <v>2802.14</v>
      </c>
      <c r="D72" s="33"/>
      <c r="E72" s="164">
        <f>'HEURES SUPPLEMENTAIRES '!D57</f>
        <v>0.105</v>
      </c>
      <c r="F72" s="19">
        <f>-ROUND(C72*E72,2)</f>
        <v>-294.22000000000003</v>
      </c>
      <c r="G72" s="17"/>
      <c r="H72" s="524"/>
      <c r="I72" s="2"/>
      <c r="J72" s="2"/>
      <c r="K72" s="2"/>
    </row>
    <row r="73" spans="1:12" ht="33.75" customHeight="1" x14ac:dyDescent="0.25">
      <c r="A73" s="937" t="s">
        <v>54</v>
      </c>
      <c r="B73" s="937"/>
      <c r="C73" s="13"/>
      <c r="D73" s="13"/>
      <c r="E73" s="13"/>
      <c r="F73" s="13">
        <f>SUM(F36:F72)</f>
        <v>2233.6500000000005</v>
      </c>
      <c r="G73" s="13">
        <f>SUM(G36:G72)</f>
        <v>7224.32</v>
      </c>
      <c r="H73" s="526"/>
      <c r="I73" s="2"/>
    </row>
    <row r="74" spans="1:12" ht="19.899999999999999" hidden="1" customHeight="1" x14ac:dyDescent="0.25">
      <c r="A74" s="937" t="s">
        <v>361</v>
      </c>
      <c r="B74" s="937"/>
      <c r="C74" s="13"/>
      <c r="D74" s="13"/>
      <c r="E74" s="18"/>
      <c r="F74" s="13">
        <f>'MASQUE DE SAISIE '!E47*'MASQUE DE SAISIE '!E48</f>
        <v>0</v>
      </c>
      <c r="G74" s="214">
        <f>'MASQUE DE SAISIE '!E47*'MASQUE DE SAISIE '!E49</f>
        <v>0</v>
      </c>
      <c r="H74" s="524"/>
    </row>
    <row r="75" spans="1:12" ht="20.25" hidden="1" customHeight="1" x14ac:dyDescent="0.25">
      <c r="A75" s="938" t="s">
        <v>55</v>
      </c>
      <c r="B75" s="938"/>
      <c r="C75" s="41"/>
      <c r="D75" s="41"/>
      <c r="E75" s="26"/>
      <c r="F75" s="41">
        <f>'MASQUE DE SAISIE '!E50</f>
        <v>0</v>
      </c>
      <c r="G75" s="26"/>
      <c r="H75" s="527"/>
    </row>
    <row r="76" spans="1:12" ht="24.6" hidden="1" customHeight="1" x14ac:dyDescent="0.25">
      <c r="A76" s="938"/>
      <c r="B76" s="938"/>
      <c r="C76" s="41"/>
      <c r="D76" s="41"/>
      <c r="E76" s="26"/>
      <c r="F76" s="41"/>
      <c r="G76" s="26"/>
      <c r="I76" s="7"/>
      <c r="J76" s="8"/>
      <c r="K76" s="7"/>
    </row>
    <row r="77" spans="1:12" ht="19.5" hidden="1" customHeight="1" x14ac:dyDescent="0.25">
      <c r="A77" s="963" t="s">
        <v>434</v>
      </c>
      <c r="B77" s="964"/>
      <c r="C77" s="41"/>
      <c r="D77" s="41"/>
      <c r="E77" s="26"/>
      <c r="F77" s="41"/>
      <c r="G77" s="26"/>
      <c r="I77" s="7"/>
      <c r="J77" s="8"/>
      <c r="K77" s="7"/>
    </row>
    <row r="78" spans="1:12" ht="18" customHeight="1" x14ac:dyDescent="0.25">
      <c r="A78" s="920" t="s">
        <v>64</v>
      </c>
      <c r="B78" s="920"/>
      <c r="C78" s="920"/>
      <c r="D78" s="920"/>
      <c r="E78" s="920"/>
      <c r="F78" s="920"/>
      <c r="G78" s="920"/>
      <c r="H78" s="920"/>
      <c r="I78" s="920"/>
      <c r="J78" s="921">
        <f>J33-F73+F75-F76-F74+F77</f>
        <v>17568.489999999998</v>
      </c>
      <c r="K78" s="922"/>
      <c r="L78" s="922"/>
    </row>
    <row r="79" spans="1:12" ht="5.25" customHeight="1" x14ac:dyDescent="0.25">
      <c r="A79" s="923" t="s">
        <v>56</v>
      </c>
      <c r="B79" s="923"/>
      <c r="C79" s="923"/>
      <c r="D79" s="923"/>
      <c r="E79" s="923"/>
      <c r="F79" s="923"/>
      <c r="G79" s="923"/>
      <c r="H79" s="923"/>
      <c r="I79" s="923"/>
      <c r="J79" s="924">
        <f>F125</f>
        <v>187.66025999999988</v>
      </c>
      <c r="K79" s="925"/>
      <c r="L79" s="925"/>
    </row>
    <row r="80" spans="1:12" ht="5.25" customHeight="1" x14ac:dyDescent="0.25">
      <c r="A80" s="923"/>
      <c r="B80" s="923"/>
      <c r="C80" s="923"/>
      <c r="D80" s="923"/>
      <c r="E80" s="923"/>
      <c r="F80" s="923"/>
      <c r="G80" s="923"/>
      <c r="H80" s="923"/>
      <c r="I80" s="923"/>
      <c r="J80" s="925"/>
      <c r="K80" s="925"/>
      <c r="L80" s="925"/>
    </row>
    <row r="81" spans="1:14" ht="5.25" customHeight="1" x14ac:dyDescent="0.25">
      <c r="A81" s="923"/>
      <c r="B81" s="923"/>
      <c r="C81" s="923"/>
      <c r="D81" s="923"/>
      <c r="E81" s="923"/>
      <c r="F81" s="923"/>
      <c r="G81" s="923"/>
      <c r="H81" s="923"/>
      <c r="I81" s="923"/>
      <c r="J81" s="925"/>
      <c r="K81" s="925"/>
      <c r="L81" s="925"/>
    </row>
    <row r="82" spans="1:14" ht="20.25" customHeight="1" x14ac:dyDescent="0.25">
      <c r="A82" s="926" t="s">
        <v>65</v>
      </c>
      <c r="B82" s="927"/>
      <c r="C82" s="928"/>
      <c r="D82" s="932" t="s">
        <v>59</v>
      </c>
      <c r="E82" s="932"/>
      <c r="F82" s="932" t="s">
        <v>66</v>
      </c>
      <c r="G82" s="932"/>
      <c r="H82" s="53" t="s">
        <v>60</v>
      </c>
      <c r="I82" s="23"/>
      <c r="J82" s="23"/>
      <c r="K82" s="23"/>
      <c r="L82" s="23"/>
    </row>
    <row r="83" spans="1:14" x14ac:dyDescent="0.25">
      <c r="A83" s="929"/>
      <c r="B83" s="930"/>
      <c r="C83" s="931"/>
      <c r="D83" s="933">
        <f>J86</f>
        <v>15942.039999999997</v>
      </c>
      <c r="E83" s="934"/>
      <c r="F83" s="935">
        <f>'TAUX NEUTRE '!H12</f>
        <v>0.28000000000000003</v>
      </c>
      <c r="G83" s="925"/>
      <c r="H83" s="54">
        <f>ROUND(D83*F83,2)</f>
        <v>4463.7700000000004</v>
      </c>
      <c r="I83" s="23"/>
      <c r="J83" s="23"/>
      <c r="K83" s="23"/>
      <c r="L83" s="23"/>
    </row>
    <row r="84" spans="1:14" x14ac:dyDescent="0.25">
      <c r="A84" s="913" t="s">
        <v>57</v>
      </c>
      <c r="B84" s="913"/>
      <c r="C84" s="913"/>
      <c r="D84" s="913"/>
      <c r="E84" s="913"/>
      <c r="F84" s="913"/>
      <c r="G84" s="913"/>
      <c r="H84" s="913"/>
      <c r="I84" s="913"/>
      <c r="J84" s="916">
        <f>G73+J33</f>
        <v>27026.46</v>
      </c>
      <c r="K84" s="917"/>
      <c r="L84" s="917"/>
    </row>
    <row r="85" spans="1:14" x14ac:dyDescent="0.25">
      <c r="A85" s="913" t="s">
        <v>221</v>
      </c>
      <c r="B85" s="913"/>
      <c r="C85" s="913"/>
      <c r="D85" s="913"/>
      <c r="E85" s="913"/>
      <c r="F85" s="913"/>
      <c r="G85" s="913"/>
      <c r="H85" s="913"/>
      <c r="I85" s="913"/>
      <c r="J85" s="916">
        <f>J78-H83</f>
        <v>13104.719999999998</v>
      </c>
      <c r="K85" s="917"/>
      <c r="L85" s="917"/>
    </row>
    <row r="86" spans="1:14" x14ac:dyDescent="0.25">
      <c r="A86" s="913" t="s">
        <v>61</v>
      </c>
      <c r="B86" s="913"/>
      <c r="C86" s="913"/>
      <c r="D86" s="913"/>
      <c r="E86" s="913"/>
      <c r="F86" s="913"/>
      <c r="G86" s="913"/>
      <c r="H86" s="913"/>
      <c r="I86" s="913"/>
      <c r="J86" s="914">
        <f>'HEURES SUPPLEMENTAIRES '!E100</f>
        <v>15942.039999999997</v>
      </c>
      <c r="K86" s="915"/>
      <c r="L86" s="915"/>
      <c r="N86" s="2"/>
    </row>
    <row r="87" spans="1:14" x14ac:dyDescent="0.25">
      <c r="A87" s="61"/>
      <c r="B87" s="347" t="s">
        <v>63</v>
      </c>
      <c r="C87" s="347" t="s">
        <v>272</v>
      </c>
      <c r="D87" s="918" t="s">
        <v>274</v>
      </c>
      <c r="E87" s="919"/>
      <c r="F87" s="794" t="s">
        <v>275</v>
      </c>
      <c r="G87" s="794"/>
      <c r="H87" s="363"/>
      <c r="I87" s="363"/>
      <c r="J87" s="175"/>
      <c r="K87" s="350"/>
      <c r="L87" s="350"/>
    </row>
    <row r="88" spans="1:14" ht="21" customHeight="1" x14ac:dyDescent="0.25">
      <c r="A88" s="364" t="s">
        <v>273</v>
      </c>
      <c r="B88" s="65">
        <f>H83</f>
        <v>4463.7700000000004</v>
      </c>
      <c r="C88" s="65"/>
      <c r="D88" s="353" t="s">
        <v>98</v>
      </c>
      <c r="E88" s="65"/>
      <c r="F88" s="353" t="s">
        <v>282</v>
      </c>
      <c r="G88" s="65"/>
      <c r="H88" s="362"/>
      <c r="I88" s="363"/>
      <c r="J88" s="175"/>
      <c r="K88" s="350"/>
      <c r="L88" s="350"/>
    </row>
    <row r="89" spans="1:14" ht="21" customHeight="1" x14ac:dyDescent="0.25">
      <c r="A89" s="365" t="s">
        <v>277</v>
      </c>
      <c r="B89" s="354">
        <f>C72</f>
        <v>2802.14</v>
      </c>
      <c r="C89" s="65"/>
      <c r="D89" s="353" t="s">
        <v>91</v>
      </c>
      <c r="E89" s="65"/>
      <c r="F89" s="353" t="s">
        <v>231</v>
      </c>
      <c r="G89" s="65"/>
      <c r="H89" s="363"/>
      <c r="I89" s="363"/>
      <c r="J89" s="175"/>
      <c r="K89" s="350"/>
      <c r="L89" s="350"/>
    </row>
    <row r="90" spans="1:14" ht="17.25" customHeight="1" x14ac:dyDescent="0.25">
      <c r="A90" s="366" t="s">
        <v>176</v>
      </c>
      <c r="B90" s="354">
        <f>J33</f>
        <v>19802.14</v>
      </c>
      <c r="C90" s="65"/>
      <c r="D90" s="353" t="s">
        <v>230</v>
      </c>
      <c r="E90" s="65"/>
      <c r="F90" s="353" t="s">
        <v>230</v>
      </c>
      <c r="G90" s="65"/>
      <c r="H90" s="363"/>
      <c r="I90" s="363"/>
      <c r="J90" s="175"/>
      <c r="K90" s="350"/>
      <c r="L90" s="350"/>
    </row>
    <row r="91" spans="1:14" ht="17.25" customHeight="1" x14ac:dyDescent="0.25">
      <c r="A91" s="366" t="s">
        <v>61</v>
      </c>
      <c r="B91" s="354">
        <f>J86</f>
        <v>15942.039999999997</v>
      </c>
      <c r="C91" s="65"/>
      <c r="D91" s="349"/>
      <c r="E91" s="349"/>
      <c r="F91" s="349"/>
      <c r="G91" s="349"/>
      <c r="H91" s="363"/>
      <c r="I91" s="363"/>
      <c r="J91" s="175"/>
      <c r="K91" s="350"/>
      <c r="L91" s="350"/>
    </row>
    <row r="92" spans="1:14" ht="15" customHeight="1" x14ac:dyDescent="0.25">
      <c r="A92" s="788" t="s">
        <v>58</v>
      </c>
      <c r="B92" s="788"/>
      <c r="C92" s="788"/>
      <c r="D92" s="788"/>
      <c r="E92" s="788"/>
      <c r="F92" s="23"/>
      <c r="G92" s="23"/>
      <c r="H92" s="23"/>
      <c r="I92" s="23"/>
      <c r="J92" s="23"/>
      <c r="K92" s="23"/>
      <c r="L92" s="23"/>
    </row>
    <row r="93" spans="1:14" s="23" customFormat="1" ht="12" customHeight="1" x14ac:dyDescent="0.25">
      <c r="A93" s="43"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15.75" x14ac:dyDescent="0.25">
      <c r="A106" s="25" t="s">
        <v>81</v>
      </c>
      <c r="B106" s="25"/>
      <c r="C106" s="25"/>
      <c r="D106" s="25"/>
      <c r="E106" s="25"/>
      <c r="F106" s="25"/>
      <c r="G106" s="25"/>
      <c r="H106" s="25"/>
      <c r="I106" s="25"/>
      <c r="J106" s="25"/>
      <c r="K106" s="25"/>
      <c r="L106" s="25"/>
      <c r="M106" s="27"/>
      <c r="N106" s="27"/>
      <c r="O106" s="27"/>
      <c r="P106" s="27"/>
      <c r="Q106" s="27"/>
      <c r="R106" s="27"/>
    </row>
    <row r="107" spans="1:18" ht="15.75" x14ac:dyDescent="0.25">
      <c r="A107" s="25"/>
      <c r="C107" s="49" t="s">
        <v>32</v>
      </c>
      <c r="D107" s="49" t="s">
        <v>83</v>
      </c>
      <c r="E107" s="49" t="s">
        <v>92</v>
      </c>
      <c r="H107" s="25"/>
      <c r="I107" s="25"/>
      <c r="J107" s="25"/>
      <c r="K107" s="25"/>
      <c r="L107" s="25"/>
      <c r="M107" s="27"/>
      <c r="N107" s="27"/>
      <c r="O107" s="27"/>
      <c r="P107" s="27"/>
      <c r="Q107" s="27"/>
      <c r="R107" s="27"/>
    </row>
    <row r="108" spans="1:18" ht="24.6" customHeight="1" x14ac:dyDescent="0.25">
      <c r="A108" s="910" t="s">
        <v>84</v>
      </c>
      <c r="B108" s="911"/>
      <c r="C108" s="44">
        <f>IF(B9&lt;50,IF(J33&gt;C33,C33,J33),0)</f>
        <v>4005</v>
      </c>
      <c r="D108" s="51">
        <f>'TABLE DES TAUX 2026 '!D26</f>
        <v>1E-3</v>
      </c>
      <c r="E108" s="44">
        <f>ROUND(C108*D108,2)</f>
        <v>4.01</v>
      </c>
      <c r="H108" s="25"/>
      <c r="I108" s="25"/>
      <c r="J108" s="25"/>
      <c r="K108" s="25"/>
      <c r="L108" s="25"/>
      <c r="M108" s="27"/>
      <c r="N108" s="27"/>
      <c r="O108" s="27"/>
      <c r="P108" s="27"/>
      <c r="Q108" s="27"/>
      <c r="R108" s="27"/>
    </row>
    <row r="109" spans="1:18" ht="24.6" customHeight="1" x14ac:dyDescent="0.25">
      <c r="A109" s="910" t="s">
        <v>85</v>
      </c>
      <c r="B109" s="911"/>
      <c r="C109" s="44">
        <f>IF(B9&gt;=50,J33,0)</f>
        <v>0</v>
      </c>
      <c r="D109" s="51">
        <f>'TABLE DES TAUX 2026 '!D27</f>
        <v>5.0000000000000001E-3</v>
      </c>
      <c r="E109" s="44">
        <f>ROUND(C109*D109,2)</f>
        <v>0</v>
      </c>
      <c r="H109" s="25"/>
      <c r="I109" s="25"/>
      <c r="J109" s="25"/>
      <c r="K109" s="25"/>
      <c r="L109" s="25"/>
      <c r="M109" s="27"/>
      <c r="N109" s="27"/>
      <c r="O109" s="27"/>
      <c r="P109" s="27"/>
      <c r="Q109" s="27"/>
      <c r="R109" s="27"/>
    </row>
    <row r="110" spans="1:18" ht="24.6" customHeight="1" x14ac:dyDescent="0.25">
      <c r="A110" s="910" t="s">
        <v>266</v>
      </c>
      <c r="B110" s="911"/>
      <c r="C110" s="44">
        <f>IF(B9&gt;=11,J33,0)</f>
        <v>19802.14</v>
      </c>
      <c r="D110" s="51">
        <f>'TABLE DES TAUX 2026 '!D28</f>
        <v>3.2000000000000001E-2</v>
      </c>
      <c r="E110" s="44">
        <f t="shared" ref="E110:E117" si="3">ROUND(C110*D110,2)</f>
        <v>633.66999999999996</v>
      </c>
      <c r="H110" s="25"/>
      <c r="I110" s="25"/>
      <c r="J110" s="25"/>
      <c r="K110" s="25"/>
      <c r="L110" s="25"/>
      <c r="M110" s="27"/>
      <c r="N110" s="27"/>
      <c r="O110" s="27"/>
      <c r="P110" s="27"/>
      <c r="Q110" s="27"/>
      <c r="R110" s="27"/>
    </row>
    <row r="111" spans="1:18" ht="24.6" customHeight="1" x14ac:dyDescent="0.25">
      <c r="A111" s="905" t="s">
        <v>70</v>
      </c>
      <c r="B111" s="906"/>
      <c r="C111" s="44">
        <f>J33</f>
        <v>19802.14</v>
      </c>
      <c r="D111" s="51">
        <f>'TABLE DES TAUX 2026 '!D29</f>
        <v>3.0000000000000001E-3</v>
      </c>
      <c r="E111" s="44">
        <f t="shared" si="3"/>
        <v>59.41</v>
      </c>
      <c r="H111" s="25"/>
      <c r="I111" s="25"/>
      <c r="J111" s="25"/>
      <c r="K111" s="25"/>
      <c r="L111" s="25"/>
      <c r="M111" s="27"/>
      <c r="N111" s="27"/>
      <c r="O111" s="27"/>
      <c r="P111" s="27"/>
      <c r="Q111" s="27"/>
      <c r="R111" s="27"/>
    </row>
    <row r="112" spans="1:18" ht="24.6" customHeight="1" x14ac:dyDescent="0.25">
      <c r="A112" s="910" t="s">
        <v>82</v>
      </c>
      <c r="B112" s="911"/>
      <c r="C112" s="44">
        <f>IF(B9&gt;=11, IF(I9=2,G38+G41+G42,G39+G40),0)</f>
        <v>792.08</v>
      </c>
      <c r="D112" s="51">
        <f>'TABLE DES TAUX 2026 '!D30</f>
        <v>0.08</v>
      </c>
      <c r="E112" s="44">
        <f t="shared" si="3"/>
        <v>63.37</v>
      </c>
      <c r="H112" s="27"/>
      <c r="I112" s="27"/>
      <c r="J112" s="27"/>
      <c r="K112" s="27"/>
      <c r="L112" s="27"/>
      <c r="M112" s="27"/>
      <c r="N112" s="27"/>
      <c r="O112" s="27"/>
      <c r="P112" s="27"/>
      <c r="Q112" s="27"/>
      <c r="R112" s="27"/>
    </row>
    <row r="113" spans="1:18" ht="24.6" customHeight="1" x14ac:dyDescent="0.25">
      <c r="A113" s="906" t="s">
        <v>213</v>
      </c>
      <c r="B113" s="912"/>
      <c r="C113" s="44">
        <f>G43</f>
        <v>0</v>
      </c>
      <c r="D113" s="51">
        <f>'TABLE DES TAUX 2026 '!D31</f>
        <v>0.2</v>
      </c>
      <c r="E113" s="44">
        <f t="shared" si="3"/>
        <v>0</v>
      </c>
      <c r="H113" s="27"/>
      <c r="I113" s="27"/>
      <c r="J113" s="27"/>
      <c r="K113" s="27"/>
      <c r="L113" s="27"/>
      <c r="M113" s="27"/>
      <c r="N113" s="27"/>
      <c r="O113" s="27"/>
      <c r="P113" s="27"/>
      <c r="Q113" s="27"/>
      <c r="R113" s="27"/>
    </row>
    <row r="114" spans="1:18" ht="24.6" customHeight="1" x14ac:dyDescent="0.25">
      <c r="A114" s="905" t="s">
        <v>71</v>
      </c>
      <c r="B114" s="906"/>
      <c r="C114" s="44">
        <f>+J33</f>
        <v>19802.14</v>
      </c>
      <c r="D114" s="51">
        <f>'TABLE DES TAUX 2026 '!D32</f>
        <v>1.6000000000000001E-4</v>
      </c>
      <c r="E114" s="44">
        <f t="shared" si="3"/>
        <v>3.17</v>
      </c>
      <c r="H114" s="27"/>
      <c r="I114" s="27"/>
      <c r="J114" s="27"/>
      <c r="K114" s="27"/>
      <c r="L114" s="27"/>
      <c r="M114" s="27"/>
      <c r="N114" s="27"/>
      <c r="O114" s="27"/>
      <c r="P114" s="27"/>
      <c r="Q114" s="27"/>
      <c r="R114" s="27"/>
    </row>
    <row r="115" spans="1:18" ht="24.6" customHeight="1" x14ac:dyDescent="0.25">
      <c r="A115" s="903" t="s">
        <v>789</v>
      </c>
      <c r="B115" s="904"/>
      <c r="C115" s="609">
        <f>IF(B9&gt;=11,J33,0)</f>
        <v>19802.14</v>
      </c>
      <c r="D115" s="51">
        <f>'TABLE DES TAUX 2026 '!D33+'TABLE DES TAUX 2026 '!D34</f>
        <v>1.6799999999999999E-2</v>
      </c>
      <c r="E115" s="44">
        <f t="shared" si="3"/>
        <v>332.68</v>
      </c>
      <c r="H115" s="27"/>
      <c r="I115" s="27"/>
      <c r="J115" s="27"/>
      <c r="K115" s="27"/>
      <c r="L115" s="27"/>
      <c r="M115" s="27"/>
      <c r="N115" s="27"/>
      <c r="O115" s="27"/>
      <c r="P115" s="27"/>
      <c r="Q115" s="27"/>
      <c r="R115" s="27"/>
    </row>
    <row r="116" spans="1:18" ht="24.6" customHeight="1" x14ac:dyDescent="0.25">
      <c r="A116" s="903" t="s">
        <v>790</v>
      </c>
      <c r="B116" s="904"/>
      <c r="C116" s="609">
        <f>IF(B9&lt;11,J33,0)</f>
        <v>0</v>
      </c>
      <c r="D116" s="51">
        <f>'TABLE DES TAUX 2026 '!D35+'TABLE DES TAUX 2026 '!D33</f>
        <v>1.2299999999999998E-2</v>
      </c>
      <c r="E116" s="44">
        <f t="shared" si="3"/>
        <v>0</v>
      </c>
      <c r="H116" s="27"/>
      <c r="I116" s="27"/>
      <c r="J116" s="27"/>
      <c r="K116" s="27"/>
      <c r="L116" s="27"/>
      <c r="M116" s="27"/>
      <c r="N116" s="27"/>
      <c r="O116" s="27"/>
      <c r="P116" s="27"/>
      <c r="Q116" s="27"/>
      <c r="R116" s="27"/>
    </row>
    <row r="117" spans="1:18" ht="24.6" customHeight="1" x14ac:dyDescent="0.25">
      <c r="A117" s="905" t="s">
        <v>76</v>
      </c>
      <c r="B117" s="906"/>
      <c r="C117" s="44">
        <f>IF(B9&lt;50,0,J33)</f>
        <v>0</v>
      </c>
      <c r="D117" s="51">
        <f>'TABLE DES TAUX 2026 '!D35</f>
        <v>5.4999999999999997E-3</v>
      </c>
      <c r="E117" s="44">
        <f t="shared" si="3"/>
        <v>0</v>
      </c>
      <c r="H117" s="27"/>
      <c r="I117" s="27"/>
      <c r="J117" s="27"/>
      <c r="K117" s="27"/>
      <c r="L117" s="27"/>
      <c r="M117" s="27"/>
      <c r="N117" s="27"/>
      <c r="O117" s="27"/>
      <c r="P117" s="27"/>
      <c r="Q117" s="27"/>
      <c r="R117" s="27"/>
    </row>
    <row r="118" spans="1:18" ht="24.6" customHeight="1" x14ac:dyDescent="0.25">
      <c r="A118" s="27"/>
      <c r="B118" s="27"/>
      <c r="D118" s="27"/>
      <c r="E118" s="66">
        <f>SUM(E108:E117)</f>
        <v>1096.31</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907" t="s">
        <v>87</v>
      </c>
      <c r="B122" s="907"/>
      <c r="C122" s="46">
        <v>7.4999999999999997E-3</v>
      </c>
      <c r="D122" s="47">
        <f>C36*C122</f>
        <v>148.51604999999998</v>
      </c>
      <c r="E122" s="24"/>
      <c r="F122" s="24"/>
      <c r="G122" s="24"/>
      <c r="H122" s="27"/>
      <c r="I122" s="27"/>
      <c r="J122" s="27"/>
      <c r="K122" s="27"/>
      <c r="L122" s="27"/>
      <c r="M122" s="27"/>
      <c r="N122" s="27"/>
      <c r="O122" s="27"/>
      <c r="P122" s="27"/>
      <c r="Q122" s="27"/>
      <c r="R122" s="27"/>
    </row>
    <row r="123" spans="1:18" ht="35.25" customHeight="1" x14ac:dyDescent="0.3">
      <c r="A123" s="901" t="s">
        <v>88</v>
      </c>
      <c r="B123" s="901"/>
      <c r="C123" s="46">
        <v>2.4E-2</v>
      </c>
      <c r="D123" s="47">
        <f>C61*C123</f>
        <v>384.48</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908" t="s">
        <v>109</v>
      </c>
      <c r="B125" s="908"/>
      <c r="C125" s="908"/>
      <c r="D125" s="909"/>
      <c r="E125" s="67" t="s">
        <v>90</v>
      </c>
      <c r="F125" s="68">
        <f>D122+D123-D127</f>
        <v>187.66025999999988</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901" t="s">
        <v>89</v>
      </c>
      <c r="B127" s="901"/>
      <c r="C127" s="46">
        <v>1.7000000000000001E-2</v>
      </c>
      <c r="D127" s="47">
        <f>(C66+C70)*C127</f>
        <v>345.33579000000009</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902"/>
      <c r="B142" s="902"/>
      <c r="C142" s="902"/>
      <c r="D142" s="902"/>
      <c r="E142" s="902"/>
      <c r="F142" s="902"/>
      <c r="G142" s="902"/>
      <c r="H142" s="902"/>
      <c r="I142" s="902"/>
      <c r="J142" s="902"/>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4">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60" zoomScale="140" zoomScaleNormal="140" workbookViewId="0">
      <selection activeCell="A59" sqref="A59:B59"/>
    </sheetView>
  </sheetViews>
  <sheetFormatPr baseColWidth="10" defaultColWidth="11.42578125" defaultRowHeight="16.5" x14ac:dyDescent="0.3"/>
  <cols>
    <col min="1" max="1" width="17.140625" style="219" customWidth="1"/>
    <col min="2" max="2" width="22.28515625" style="219" customWidth="1"/>
    <col min="3" max="3" width="11" style="216" customWidth="1"/>
    <col min="4" max="4" width="9.140625" style="217" customWidth="1"/>
    <col min="5" max="5" width="9" style="217" customWidth="1"/>
    <col min="6" max="6" width="12.28515625" style="216" customWidth="1"/>
    <col min="7" max="7" width="12.42578125" style="216"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15.75" customHeight="1" x14ac:dyDescent="0.3">
      <c r="A1" s="969" t="s">
        <v>438</v>
      </c>
      <c r="B1" s="969"/>
      <c r="C1" s="969"/>
      <c r="D1" s="969"/>
      <c r="E1" s="969"/>
      <c r="F1" s="969"/>
      <c r="G1" s="969"/>
      <c r="H1" s="970"/>
      <c r="I1" s="970"/>
      <c r="J1" s="970"/>
    </row>
    <row r="2" spans="1:10" ht="15.75" customHeight="1" x14ac:dyDescent="0.3">
      <c r="A2" s="971" t="s">
        <v>0</v>
      </c>
      <c r="B2" s="972"/>
      <c r="C2" s="972"/>
      <c r="D2" s="973"/>
      <c r="E2" s="297"/>
      <c r="F2" s="974" t="s">
        <v>1</v>
      </c>
      <c r="G2" s="975"/>
      <c r="H2" s="975"/>
      <c r="I2" s="975"/>
      <c r="J2" s="976"/>
    </row>
    <row r="3" spans="1:10" ht="15.75" customHeight="1" x14ac:dyDescent="0.3">
      <c r="A3" s="298" t="s">
        <v>2</v>
      </c>
      <c r="B3" s="977" t="str">
        <f>'MASQUE DE SAISIE '!G4</f>
        <v xml:space="preserve">Pharmacie L et D  de GAALON </v>
      </c>
      <c r="C3" s="978"/>
      <c r="D3" s="979"/>
      <c r="E3" s="299"/>
      <c r="F3" s="300" t="s">
        <v>2</v>
      </c>
      <c r="G3" s="967" t="str">
        <f>'MASQUE DE SAISIE '!E26</f>
        <v xml:space="preserve">MARTINO </v>
      </c>
      <c r="H3" s="967"/>
      <c r="I3" s="967"/>
      <c r="J3" s="967"/>
    </row>
    <row r="4" spans="1:10" ht="15.75" customHeight="1" x14ac:dyDescent="0.3">
      <c r="A4" s="298" t="s">
        <v>3</v>
      </c>
      <c r="B4" s="977" t="str">
        <f>'MASQUE DE SAISIE '!G5</f>
        <v xml:space="preserve">29 Rue Clémenceau  22430 Erquy </v>
      </c>
      <c r="C4" s="978"/>
      <c r="D4" s="979"/>
      <c r="E4" s="299"/>
      <c r="F4" s="300" t="s">
        <v>4</v>
      </c>
      <c r="G4" s="967" t="str">
        <f>'MASQUE DE SAISIE '!E27</f>
        <v>Rassa</v>
      </c>
      <c r="H4" s="967"/>
      <c r="I4" s="967"/>
      <c r="J4" s="967"/>
    </row>
    <row r="5" spans="1:10" ht="15.75" customHeight="1" x14ac:dyDescent="0.3">
      <c r="A5" s="298"/>
      <c r="B5" s="965"/>
      <c r="C5" s="966"/>
      <c r="D5" s="867"/>
      <c r="E5" s="299"/>
      <c r="F5" s="300" t="s">
        <v>5</v>
      </c>
      <c r="G5" s="967" t="str">
        <f>'MASQUE DE SAISIE '!E29</f>
        <v>Préparatrice en Pharmacie</v>
      </c>
      <c r="H5" s="967"/>
      <c r="I5" s="967"/>
      <c r="J5" s="967"/>
    </row>
    <row r="6" spans="1:10" ht="15.75" customHeight="1" x14ac:dyDescent="0.3">
      <c r="A6" s="298" t="s">
        <v>6</v>
      </c>
      <c r="B6" s="863">
        <f>'MASQUE DE SAISIE '!G6</f>
        <v>4980785750020</v>
      </c>
      <c r="C6" s="864"/>
      <c r="D6" s="865"/>
      <c r="E6" s="301"/>
      <c r="F6" s="300" t="s">
        <v>7</v>
      </c>
      <c r="G6" s="967">
        <f>'MASQUE DE SAISIE '!E30</f>
        <v>290</v>
      </c>
      <c r="H6" s="967"/>
      <c r="I6" s="967"/>
      <c r="J6" s="967"/>
    </row>
    <row r="7" spans="1:10" ht="15.75" customHeight="1" x14ac:dyDescent="0.3">
      <c r="A7" s="298" t="s">
        <v>8</v>
      </c>
      <c r="B7" s="965" t="str">
        <f>'MASQUE DE SAISIE '!G7</f>
        <v>4773Z</v>
      </c>
      <c r="C7" s="966"/>
      <c r="D7" s="867"/>
      <c r="E7" s="299"/>
      <c r="F7" s="300" t="s">
        <v>9</v>
      </c>
      <c r="G7" s="968" t="str">
        <f>'MASQUE DE SAISIE '!E31</f>
        <v>2.96.02.297.820. 957</v>
      </c>
      <c r="H7" s="968"/>
      <c r="I7" s="968"/>
      <c r="J7" s="968"/>
    </row>
    <row r="8" spans="1:10" ht="15.75" customHeight="1" x14ac:dyDescent="0.3">
      <c r="A8" s="298" t="s">
        <v>10</v>
      </c>
      <c r="B8" s="863"/>
      <c r="C8" s="864"/>
      <c r="D8" s="865"/>
      <c r="E8" s="301"/>
      <c r="F8" s="302" t="s">
        <v>3</v>
      </c>
      <c r="G8" s="967" t="str">
        <f>'MASQUE DE SAISIE '!E28</f>
        <v xml:space="preserve">2 Avenue du Val Fleuri 22520 Binic </v>
      </c>
      <c r="H8" s="967"/>
      <c r="I8" s="967"/>
      <c r="J8" s="967"/>
    </row>
    <row r="9" spans="1:10" ht="15.75" customHeight="1" x14ac:dyDescent="0.3">
      <c r="A9" s="298" t="s">
        <v>11</v>
      </c>
      <c r="B9" s="485">
        <f>'MASQUE DE SAISIE '!G9</f>
        <v>40</v>
      </c>
      <c r="C9" s="866" t="str">
        <f>IF('MASQUE DE SAISIE '!E34 = "","",'MASQUE DE SAISIE '!E34 )</f>
        <v/>
      </c>
      <c r="D9" s="867"/>
      <c r="E9" s="299"/>
      <c r="F9" s="868" t="s">
        <v>12</v>
      </c>
      <c r="G9" s="869"/>
      <c r="H9" s="304"/>
      <c r="I9" s="305">
        <f>'MASQUE DE SAISIE '!E33</f>
        <v>2</v>
      </c>
      <c r="J9" s="305" t="str">
        <f>'MASQUE DE SAISIE '!E32</f>
        <v>C</v>
      </c>
    </row>
    <row r="10" spans="1:10" ht="15.75" customHeight="1" x14ac:dyDescent="0.3">
      <c r="A10" s="614" t="s">
        <v>13</v>
      </c>
      <c r="B10" s="313">
        <f>'MASQUE DE SAISIE '!E46</f>
        <v>171.67</v>
      </c>
      <c r="C10" s="305" t="s">
        <v>14</v>
      </c>
      <c r="D10" s="411">
        <f>'MASQUE DE SAISIE '!E43</f>
        <v>12.02</v>
      </c>
      <c r="E10" s="299"/>
      <c r="F10" s="965" t="s">
        <v>223</v>
      </c>
      <c r="G10" s="867"/>
      <c r="H10" s="357">
        <f>'MASQUE DE SAISIE '!E38</f>
        <v>46296</v>
      </c>
      <c r="I10" s="309" t="s">
        <v>15</v>
      </c>
      <c r="J10" s="357">
        <f>'MASQUE DE SAISIE '!E39</f>
        <v>46326</v>
      </c>
    </row>
    <row r="11" spans="1:10" ht="30" customHeight="1" x14ac:dyDescent="0.3">
      <c r="A11" s="310"/>
      <c r="B11" s="955" t="s">
        <v>281</v>
      </c>
      <c r="C11" s="956"/>
      <c r="D11" s="957"/>
      <c r="E11" s="311"/>
      <c r="F11" s="310" t="s">
        <v>16</v>
      </c>
      <c r="G11" s="358">
        <f>'MASQUE DE SAISIE '!E39</f>
        <v>46326</v>
      </c>
      <c r="H11" s="63"/>
      <c r="I11" s="63"/>
      <c r="J11" s="359"/>
    </row>
    <row r="12" spans="1:10" ht="9.6" hidden="1" customHeight="1" x14ac:dyDescent="0.3">
      <c r="A12" s="958"/>
      <c r="B12" s="959"/>
      <c r="C12" s="959"/>
      <c r="D12" s="959"/>
      <c r="E12" s="959"/>
      <c r="F12" s="959"/>
      <c r="G12" s="959"/>
      <c r="H12" s="959"/>
      <c r="I12" s="959"/>
      <c r="J12" s="959"/>
    </row>
    <row r="13" spans="1:10" ht="18.600000000000001" customHeight="1" x14ac:dyDescent="0.3">
      <c r="A13" s="960" t="s">
        <v>17</v>
      </c>
      <c r="B13" s="961"/>
      <c r="C13" s="961"/>
      <c r="D13" s="961"/>
      <c r="E13" s="961"/>
      <c r="F13" s="962"/>
      <c r="G13" s="313">
        <f>+'MASQUE DE SAISIE '!E42</f>
        <v>151.66999999999999</v>
      </c>
      <c r="H13" s="310" t="s">
        <v>18</v>
      </c>
      <c r="I13" s="314">
        <f>J13/G13</f>
        <v>112.08544867145778</v>
      </c>
      <c r="J13" s="315">
        <f>+'MASQUE DE SAISIE '!E41</f>
        <v>17000</v>
      </c>
    </row>
    <row r="14" spans="1:10" ht="18.600000000000001" hidden="1" customHeight="1" x14ac:dyDescent="0.3">
      <c r="A14" s="960" t="s">
        <v>777</v>
      </c>
      <c r="B14" s="961"/>
      <c r="C14" s="961"/>
      <c r="D14" s="961"/>
      <c r="E14" s="961"/>
      <c r="F14" s="962"/>
      <c r="G14" s="310"/>
      <c r="H14" s="310"/>
      <c r="I14" s="314"/>
      <c r="J14" s="315"/>
    </row>
    <row r="15" spans="1:10" ht="18.600000000000001" hidden="1" customHeight="1" x14ac:dyDescent="0.3">
      <c r="A15" s="960" t="s">
        <v>380</v>
      </c>
      <c r="B15" s="961"/>
      <c r="C15" s="961"/>
      <c r="D15" s="961"/>
      <c r="E15" s="961"/>
      <c r="F15" s="962"/>
      <c r="G15" s="316"/>
      <c r="H15" s="317"/>
      <c r="I15" s="314"/>
      <c r="J15" s="315"/>
    </row>
    <row r="16" spans="1:10" ht="18.600000000000001" hidden="1" customHeight="1" x14ac:dyDescent="0.3">
      <c r="A16" s="960" t="s">
        <v>381</v>
      </c>
      <c r="B16" s="961"/>
      <c r="C16" s="961"/>
      <c r="D16" s="961"/>
      <c r="E16" s="961"/>
      <c r="F16" s="962"/>
      <c r="G16" s="316"/>
      <c r="H16" s="317"/>
      <c r="I16" s="314"/>
      <c r="J16" s="315"/>
    </row>
    <row r="17" spans="1:10" ht="18.600000000000001" hidden="1" customHeight="1" x14ac:dyDescent="0.3">
      <c r="A17" s="960" t="s">
        <v>19</v>
      </c>
      <c r="B17" s="961"/>
      <c r="C17" s="961"/>
      <c r="D17" s="961"/>
      <c r="E17" s="961"/>
      <c r="F17" s="962"/>
      <c r="G17" s="316"/>
      <c r="H17" s="317" t="s">
        <v>18</v>
      </c>
      <c r="I17" s="314"/>
      <c r="J17" s="315"/>
    </row>
    <row r="18" spans="1:10" ht="18.600000000000001" hidden="1" customHeight="1" x14ac:dyDescent="0.3">
      <c r="A18" s="960" t="s">
        <v>225</v>
      </c>
      <c r="B18" s="961"/>
      <c r="C18" s="961"/>
      <c r="D18" s="961"/>
      <c r="E18" s="961"/>
      <c r="F18" s="962"/>
      <c r="G18" s="316"/>
      <c r="H18" s="317" t="s">
        <v>18</v>
      </c>
      <c r="I18" s="314"/>
      <c r="J18" s="315">
        <f t="shared" ref="J18:J21" si="0">ROUND(G18*I18,2)</f>
        <v>0</v>
      </c>
    </row>
    <row r="19" spans="1:10" ht="18.600000000000001" hidden="1" customHeight="1" x14ac:dyDescent="0.3">
      <c r="A19" s="960" t="s">
        <v>226</v>
      </c>
      <c r="B19" s="961"/>
      <c r="C19" s="961"/>
      <c r="D19" s="961"/>
      <c r="E19" s="961"/>
      <c r="F19" s="962"/>
      <c r="G19" s="313"/>
      <c r="H19" s="317" t="s">
        <v>18</v>
      </c>
      <c r="I19" s="314">
        <f>J13*1.25/G13</f>
        <v>140.10681083932224</v>
      </c>
      <c r="J19" s="315">
        <f t="shared" si="0"/>
        <v>0</v>
      </c>
    </row>
    <row r="20" spans="1:10" ht="18.600000000000001" hidden="1" customHeight="1" x14ac:dyDescent="0.3">
      <c r="A20" s="960" t="s">
        <v>227</v>
      </c>
      <c r="B20" s="961"/>
      <c r="C20" s="961"/>
      <c r="D20" s="961"/>
      <c r="E20" s="961"/>
      <c r="F20" s="962"/>
      <c r="G20" s="316"/>
      <c r="H20" s="317" t="s">
        <v>18</v>
      </c>
      <c r="I20" s="314"/>
      <c r="J20" s="315">
        <f t="shared" si="0"/>
        <v>0</v>
      </c>
    </row>
    <row r="21" spans="1:10" ht="18.600000000000001" customHeight="1" x14ac:dyDescent="0.3">
      <c r="A21" s="960" t="s">
        <v>228</v>
      </c>
      <c r="B21" s="961"/>
      <c r="C21" s="961"/>
      <c r="D21" s="961"/>
      <c r="E21" s="961"/>
      <c r="F21" s="962"/>
      <c r="G21" s="432">
        <f>'MASQUE DE SAISIE '!E45</f>
        <v>20</v>
      </c>
      <c r="H21" s="317" t="s">
        <v>18</v>
      </c>
      <c r="I21" s="314">
        <f>ROUND(((J13+J16)*1.25/G13),6)</f>
        <v>140.10681099999999</v>
      </c>
      <c r="J21" s="315">
        <f t="shared" si="0"/>
        <v>2802.14</v>
      </c>
    </row>
    <row r="22" spans="1:10" ht="18.600000000000001" hidden="1" customHeight="1" x14ac:dyDescent="0.3">
      <c r="A22" s="960" t="s">
        <v>229</v>
      </c>
      <c r="B22" s="961"/>
      <c r="C22" s="961"/>
      <c r="D22" s="961"/>
      <c r="E22" s="961"/>
      <c r="F22" s="962"/>
      <c r="G22" s="316"/>
      <c r="H22" s="317" t="s">
        <v>20</v>
      </c>
      <c r="I22" s="310"/>
      <c r="J22" s="315"/>
    </row>
    <row r="23" spans="1:10" ht="18.600000000000001" hidden="1" customHeight="1" x14ac:dyDescent="0.3">
      <c r="A23" s="960" t="s">
        <v>473</v>
      </c>
      <c r="B23" s="961"/>
      <c r="C23" s="961"/>
      <c r="D23" s="961"/>
      <c r="E23" s="961"/>
      <c r="F23" s="962"/>
      <c r="G23" s="312"/>
      <c r="H23" s="318"/>
      <c r="I23" s="306"/>
      <c r="J23" s="319"/>
    </row>
    <row r="24" spans="1:10" ht="18.600000000000001" hidden="1" customHeight="1" x14ac:dyDescent="0.3">
      <c r="A24" s="960" t="s">
        <v>21</v>
      </c>
      <c r="B24" s="961"/>
      <c r="C24" s="961"/>
      <c r="D24" s="961"/>
      <c r="E24" s="961"/>
      <c r="F24" s="962"/>
      <c r="G24" s="312"/>
      <c r="H24" s="318"/>
      <c r="I24" s="306"/>
      <c r="J24" s="319"/>
    </row>
    <row r="25" spans="1:10" ht="18.600000000000001" hidden="1" customHeight="1" x14ac:dyDescent="0.3">
      <c r="A25" s="960" t="s">
        <v>22</v>
      </c>
      <c r="B25" s="961"/>
      <c r="C25" s="961"/>
      <c r="D25" s="961"/>
      <c r="E25" s="961"/>
      <c r="F25" s="962"/>
      <c r="G25" s="312"/>
      <c r="H25" s="318"/>
      <c r="I25" s="306"/>
      <c r="J25" s="319"/>
    </row>
    <row r="26" spans="1:10" ht="18.600000000000001" hidden="1" customHeight="1" x14ac:dyDescent="0.3">
      <c r="A26" s="844" t="s">
        <v>23</v>
      </c>
      <c r="B26" s="835"/>
      <c r="C26" s="835"/>
      <c r="D26" s="835"/>
      <c r="E26" s="835"/>
      <c r="F26" s="836"/>
      <c r="G26" s="312"/>
      <c r="H26" s="318"/>
      <c r="I26" s="306"/>
      <c r="J26" s="319"/>
    </row>
    <row r="27" spans="1:10" ht="18.600000000000001" hidden="1" customHeight="1" x14ac:dyDescent="0.3">
      <c r="A27" s="844" t="s">
        <v>24</v>
      </c>
      <c r="B27" s="835"/>
      <c r="C27" s="835"/>
      <c r="D27" s="835"/>
      <c r="E27" s="835"/>
      <c r="F27" s="836"/>
      <c r="G27" s="312"/>
      <c r="H27" s="318"/>
      <c r="I27" s="306"/>
      <c r="J27" s="319"/>
    </row>
    <row r="28" spans="1:10" ht="18.600000000000001" hidden="1" customHeight="1" x14ac:dyDescent="0.3">
      <c r="A28" s="844" t="s">
        <v>25</v>
      </c>
      <c r="B28" s="835"/>
      <c r="C28" s="835"/>
      <c r="D28" s="835"/>
      <c r="E28" s="835"/>
      <c r="F28" s="836"/>
      <c r="G28" s="312"/>
      <c r="H28" s="318"/>
      <c r="I28" s="306"/>
      <c r="J28" s="319"/>
    </row>
    <row r="29" spans="1:10" ht="18.600000000000001" hidden="1" customHeight="1" x14ac:dyDescent="0.3">
      <c r="A29" s="844" t="s">
        <v>26</v>
      </c>
      <c r="B29" s="835"/>
      <c r="C29" s="835"/>
      <c r="D29" s="835"/>
      <c r="E29" s="835"/>
      <c r="F29" s="836"/>
      <c r="G29" s="312"/>
      <c r="H29" s="318"/>
      <c r="I29" s="306"/>
      <c r="J29" s="319"/>
    </row>
    <row r="30" spans="1:10" ht="18.600000000000001" hidden="1" customHeight="1" x14ac:dyDescent="0.3">
      <c r="A30" s="844" t="s">
        <v>27</v>
      </c>
      <c r="B30" s="835"/>
      <c r="C30" s="835"/>
      <c r="D30" s="835"/>
      <c r="E30" s="835"/>
      <c r="F30" s="836"/>
      <c r="G30" s="312"/>
      <c r="H30" s="318"/>
      <c r="I30" s="306"/>
      <c r="J30" s="319"/>
    </row>
    <row r="31" spans="1:10" ht="18.600000000000001" hidden="1" customHeight="1" x14ac:dyDescent="0.3">
      <c r="A31" s="844" t="s">
        <v>28</v>
      </c>
      <c r="B31" s="835"/>
      <c r="C31" s="835"/>
      <c r="D31" s="835"/>
      <c r="E31" s="835"/>
      <c r="F31" s="836"/>
      <c r="G31" s="312"/>
      <c r="H31" s="318"/>
      <c r="I31" s="306"/>
      <c r="J31" s="319"/>
    </row>
    <row r="32" spans="1:10" ht="18.600000000000001" hidden="1" customHeight="1" x14ac:dyDescent="0.3">
      <c r="A32" s="844"/>
      <c r="B32" s="835"/>
      <c r="C32" s="835"/>
      <c r="D32" s="835"/>
      <c r="E32" s="835"/>
      <c r="F32" s="836"/>
      <c r="G32" s="312"/>
      <c r="H32" s="318"/>
      <c r="I32" s="306"/>
      <c r="J32" s="319"/>
    </row>
    <row r="33" spans="1:10" ht="13.9" customHeight="1" x14ac:dyDescent="0.3">
      <c r="A33" s="951" t="s">
        <v>29</v>
      </c>
      <c r="B33" s="952"/>
      <c r="C33" s="320">
        <f>'MASQUE DE SAISIE '!E44</f>
        <v>4005</v>
      </c>
      <c r="D33" s="838" t="s">
        <v>30</v>
      </c>
      <c r="E33" s="839"/>
      <c r="F33" s="839"/>
      <c r="G33" s="839"/>
      <c r="H33" s="839"/>
      <c r="I33" s="840"/>
      <c r="J33" s="433">
        <f>SUM(J13:J32)</f>
        <v>19802.14</v>
      </c>
    </row>
    <row r="34" spans="1:10" ht="10.15" hidden="1" customHeight="1" x14ac:dyDescent="0.3">
      <c r="A34" s="982"/>
      <c r="B34" s="983"/>
      <c r="C34" s="983"/>
      <c r="D34" s="983"/>
      <c r="E34" s="983"/>
      <c r="F34" s="983"/>
      <c r="G34" s="983"/>
      <c r="H34" s="983"/>
      <c r="I34" s="983"/>
      <c r="J34" s="984"/>
    </row>
    <row r="35" spans="1:10" ht="30" customHeight="1" x14ac:dyDescent="0.3">
      <c r="A35" s="830" t="s">
        <v>278</v>
      </c>
      <c r="B35" s="831"/>
      <c r="C35" s="355" t="s">
        <v>32</v>
      </c>
      <c r="D35" s="356" t="s">
        <v>33</v>
      </c>
      <c r="E35" s="356" t="s">
        <v>34</v>
      </c>
      <c r="F35" s="355" t="s">
        <v>35</v>
      </c>
      <c r="G35" s="355" t="s">
        <v>36</v>
      </c>
      <c r="H35" s="260"/>
    </row>
    <row r="36" spans="1:10" ht="17.45" customHeight="1" x14ac:dyDescent="0.3">
      <c r="A36" s="990" t="s">
        <v>37</v>
      </c>
      <c r="B36" s="991"/>
      <c r="C36" s="889"/>
      <c r="D36" s="829"/>
      <c r="E36" s="829"/>
      <c r="F36" s="829"/>
      <c r="G36" s="890"/>
    </row>
    <row r="37" spans="1:10" ht="19.899999999999999" customHeight="1" x14ac:dyDescent="0.3">
      <c r="A37" s="766" t="s">
        <v>892</v>
      </c>
      <c r="B37" s="941"/>
      <c r="C37" s="321">
        <f>J33</f>
        <v>19802.14</v>
      </c>
      <c r="D37" s="322"/>
      <c r="E37" s="322">
        <f>VLOOKUP(A37,Taux2026,4,FALSE)</f>
        <v>0.13</v>
      </c>
      <c r="F37" s="323"/>
      <c r="G37" s="321">
        <f>ROUND(C37*E37,2)</f>
        <v>2574.2800000000002</v>
      </c>
      <c r="J37" s="218"/>
    </row>
    <row r="38" spans="1:10" ht="19.149999999999999" customHeight="1" x14ac:dyDescent="0.3">
      <c r="A38" s="766"/>
      <c r="B38" s="941"/>
      <c r="C38" s="324"/>
      <c r="D38" s="322"/>
      <c r="E38" s="322"/>
      <c r="F38" s="323"/>
      <c r="G38" s="321"/>
      <c r="J38" s="218"/>
    </row>
    <row r="39" spans="1:10" ht="19.899999999999999" hidden="1" customHeight="1" x14ac:dyDescent="0.3">
      <c r="A39" s="829"/>
      <c r="B39" s="890"/>
      <c r="C39" s="321"/>
      <c r="D39" s="325"/>
      <c r="E39" s="325"/>
      <c r="F39" s="323">
        <f t="shared" ref="F39:F70" si="1">ROUND(C39*D39,2)</f>
        <v>0</v>
      </c>
      <c r="G39" s="321">
        <f t="shared" ref="G39:G62" si="2">ROUND(C39*E39,2)</f>
        <v>0</v>
      </c>
      <c r="J39" s="42"/>
    </row>
    <row r="40" spans="1:10" ht="18.600000000000001" hidden="1" customHeight="1" x14ac:dyDescent="0.3">
      <c r="A40" s="766" t="s">
        <v>239</v>
      </c>
      <c r="B40" s="941"/>
      <c r="C40" s="321">
        <f>IF(I9=1,J33,0)</f>
        <v>0</v>
      </c>
      <c r="D40" s="322">
        <f>'MASQUE DE SAISIE '!G12</f>
        <v>0.01</v>
      </c>
      <c r="E40" s="322">
        <f>'MASQUE DE SAISIE '!H12</f>
        <v>0.02</v>
      </c>
      <c r="F40" s="323">
        <f t="shared" si="1"/>
        <v>0</v>
      </c>
      <c r="G40" s="321">
        <f t="shared" si="2"/>
        <v>0</v>
      </c>
      <c r="J40" s="42"/>
    </row>
    <row r="41" spans="1:10" ht="19.899999999999999" hidden="1" customHeight="1" x14ac:dyDescent="0.3">
      <c r="A41" s="992"/>
      <c r="B41" s="992"/>
      <c r="C41" s="321"/>
      <c r="D41" s="322"/>
      <c r="E41" s="322"/>
      <c r="F41" s="323">
        <f t="shared" si="1"/>
        <v>0</v>
      </c>
      <c r="G41" s="321">
        <f t="shared" si="2"/>
        <v>0</v>
      </c>
      <c r="J41" s="42"/>
    </row>
    <row r="42" spans="1:10" ht="19.899999999999999" hidden="1" customHeight="1" x14ac:dyDescent="0.3">
      <c r="A42" s="992"/>
      <c r="B42" s="992"/>
      <c r="C42" s="325"/>
      <c r="D42" s="325"/>
      <c r="E42" s="325"/>
      <c r="F42" s="323">
        <f t="shared" si="1"/>
        <v>0</v>
      </c>
      <c r="G42" s="321">
        <f t="shared" si="2"/>
        <v>0</v>
      </c>
      <c r="J42" s="42"/>
    </row>
    <row r="43" spans="1:10" ht="17.25" customHeight="1" x14ac:dyDescent="0.3">
      <c r="A43" s="766" t="s">
        <v>192</v>
      </c>
      <c r="B43" s="941"/>
      <c r="C43" s="321">
        <f>IF(I9=2,J33,0)</f>
        <v>19802.14</v>
      </c>
      <c r="D43" s="322">
        <f>'MASQUE DE SAISIE '!G15</f>
        <v>0.01</v>
      </c>
      <c r="E43" s="322">
        <f>'MASQUE DE SAISIE '!H15</f>
        <v>0.02</v>
      </c>
      <c r="F43" s="323">
        <f t="shared" si="1"/>
        <v>198.02</v>
      </c>
      <c r="G43" s="321">
        <f t="shared" si="2"/>
        <v>396.04</v>
      </c>
      <c r="J43" s="42"/>
    </row>
    <row r="44" spans="1:10" ht="17.25" customHeight="1" x14ac:dyDescent="0.3">
      <c r="A44" s="766" t="s">
        <v>197</v>
      </c>
      <c r="B44" s="941"/>
      <c r="C44" s="321">
        <f>IF(I9=2,IF(E75=0,IF(J33&gt;C33,C33,J33),0),0)</f>
        <v>0</v>
      </c>
      <c r="D44" s="322"/>
      <c r="E44" s="322">
        <f>VLOOKUP(A44,Taux2026,4,FALSE)</f>
        <v>1.4999999999999999E-2</v>
      </c>
      <c r="F44" s="334">
        <f>ROUND(C44*D44,2)</f>
        <v>0</v>
      </c>
      <c r="G44" s="207">
        <f>ROUND(C44*E44,2)</f>
        <v>0</v>
      </c>
      <c r="J44" s="42"/>
    </row>
    <row r="45" spans="1:10" ht="17.25" customHeight="1" x14ac:dyDescent="0.3">
      <c r="A45" s="766"/>
      <c r="B45" s="941"/>
      <c r="C45" s="594"/>
      <c r="D45" s="230"/>
      <c r="E45" s="230"/>
      <c r="F45" s="594"/>
      <c r="G45" s="594"/>
      <c r="J45" s="42"/>
    </row>
    <row r="46" spans="1:10" ht="17.25" customHeight="1" x14ac:dyDescent="0.3">
      <c r="A46" s="766"/>
      <c r="B46" s="941"/>
      <c r="C46" s="321"/>
      <c r="D46" s="322"/>
      <c r="E46" s="322"/>
      <c r="F46" s="323"/>
      <c r="G46" s="321"/>
      <c r="J46" s="42"/>
    </row>
    <row r="47" spans="1:10" ht="17.25" customHeight="1" x14ac:dyDescent="0.3">
      <c r="A47" s="766"/>
      <c r="B47" s="941"/>
      <c r="C47" s="321"/>
      <c r="D47" s="322"/>
      <c r="E47" s="322"/>
      <c r="F47" s="323">
        <f t="shared" si="1"/>
        <v>0</v>
      </c>
      <c r="G47" s="321">
        <f t="shared" si="2"/>
        <v>0</v>
      </c>
      <c r="J47" s="42"/>
    </row>
    <row r="48" spans="1:10" ht="17.25" customHeight="1" x14ac:dyDescent="0.3">
      <c r="A48" s="766"/>
      <c r="B48" s="941"/>
      <c r="C48" s="321"/>
      <c r="D48" s="325"/>
      <c r="E48" s="325"/>
      <c r="F48" s="323">
        <f t="shared" si="1"/>
        <v>0</v>
      </c>
      <c r="G48" s="321">
        <f t="shared" si="2"/>
        <v>0</v>
      </c>
      <c r="J48" s="42"/>
    </row>
    <row r="49" spans="1:17" ht="17.25" customHeight="1" x14ac:dyDescent="0.3">
      <c r="A49" s="985" t="s">
        <v>38</v>
      </c>
      <c r="B49" s="986"/>
      <c r="C49" s="327">
        <f>J33</f>
        <v>19802.14</v>
      </c>
      <c r="D49" s="322"/>
      <c r="E49" s="322">
        <f>'MASQUE DE SAISIE '!H21</f>
        <v>1.2999999999999999E-2</v>
      </c>
      <c r="F49" s="323"/>
      <c r="G49" s="321">
        <f t="shared" si="2"/>
        <v>257.43</v>
      </c>
      <c r="J49" s="42"/>
      <c r="L49" s="996"/>
    </row>
    <row r="50" spans="1:17" ht="19.899999999999999" customHeight="1" x14ac:dyDescent="0.3">
      <c r="A50" s="985" t="s">
        <v>39</v>
      </c>
      <c r="B50" s="986"/>
      <c r="C50" s="328"/>
      <c r="D50" s="322"/>
      <c r="E50" s="322"/>
      <c r="F50" s="323"/>
      <c r="G50" s="321"/>
      <c r="L50" s="996"/>
    </row>
    <row r="51" spans="1:17" ht="15" customHeight="1" x14ac:dyDescent="0.3">
      <c r="A51" s="987" t="s">
        <v>40</v>
      </c>
      <c r="B51" s="731"/>
      <c r="C51" s="321">
        <f>IF(J33&gt;C33,C33,J33)</f>
        <v>4005</v>
      </c>
      <c r="D51" s="322">
        <f>VLOOKUP(A51,TAUX2023,3,FALSE)</f>
        <v>6.9000000000000006E-2</v>
      </c>
      <c r="E51" s="322">
        <f>VLOOKUP(A51,Taux2026,4,FALSE)</f>
        <v>8.5500000000000007E-2</v>
      </c>
      <c r="F51" s="323">
        <f t="shared" si="1"/>
        <v>276.35000000000002</v>
      </c>
      <c r="G51" s="321">
        <f t="shared" si="2"/>
        <v>342.43</v>
      </c>
    </row>
    <row r="52" spans="1:17" ht="15" customHeight="1" x14ac:dyDescent="0.3">
      <c r="A52" s="987" t="s">
        <v>41</v>
      </c>
      <c r="B52" s="731"/>
      <c r="C52" s="321">
        <f>J33</f>
        <v>19802.14</v>
      </c>
      <c r="D52" s="322">
        <f>VLOOKUP(A52,TAUX2023,3,FALSE)</f>
        <v>4.0000000000000001E-3</v>
      </c>
      <c r="E52" s="322">
        <f>VLOOKUP(A52,Taux2026,4,FALSE)</f>
        <v>2.1100000000000001E-2</v>
      </c>
      <c r="F52" s="323">
        <f t="shared" si="1"/>
        <v>79.209999999999994</v>
      </c>
      <c r="G52" s="321">
        <f t="shared" si="2"/>
        <v>417.83</v>
      </c>
    </row>
    <row r="53" spans="1:17" ht="15" customHeight="1" x14ac:dyDescent="0.3">
      <c r="A53" s="987" t="s">
        <v>42</v>
      </c>
      <c r="B53" s="731"/>
      <c r="C53" s="321">
        <f>IF(J33&gt;C33,C33,J33)</f>
        <v>4005</v>
      </c>
      <c r="D53" s="329">
        <f>IF(J33&gt;C33,'TABLE DES TAUX 2026 '!C72,'TABLE DES TAUX 2026 '!A72)</f>
        <v>0</v>
      </c>
      <c r="E53" s="329">
        <f>IF(J33&gt;C33,'TABLE DES TAUX 2026 '!D72,'TABLE DES TAUX 2026 '!B72)</f>
        <v>1.4E-3</v>
      </c>
      <c r="F53" s="323">
        <f t="shared" si="1"/>
        <v>0</v>
      </c>
      <c r="G53" s="321">
        <f t="shared" si="2"/>
        <v>5.61</v>
      </c>
      <c r="H53" s="220"/>
      <c r="I53" s="221"/>
      <c r="J53" s="222"/>
      <c r="K53" s="222"/>
      <c r="M53" s="822"/>
      <c r="N53" s="822"/>
      <c r="O53" s="822"/>
    </row>
    <row r="54" spans="1:17" ht="15" customHeight="1" x14ac:dyDescent="0.3">
      <c r="A54" s="987" t="s">
        <v>43</v>
      </c>
      <c r="B54" s="731"/>
      <c r="C54" s="330">
        <f>IF(J33&gt;C33,IF(J33&gt;8*C33,7*C33,J33-C33),0)</f>
        <v>15797.14</v>
      </c>
      <c r="D54" s="329">
        <f>IF(J33&gt;C33,'TABLE DES TAUX 2026 '!C78,0)</f>
        <v>0</v>
      </c>
      <c r="E54" s="331">
        <f>IF(J33&gt;C33,'TABLE DES TAUX 2026 '!D78,0)</f>
        <v>1.4E-3</v>
      </c>
      <c r="F54" s="323">
        <f t="shared" si="1"/>
        <v>0</v>
      </c>
      <c r="G54" s="321">
        <f t="shared" si="2"/>
        <v>22.12</v>
      </c>
      <c r="H54" s="220"/>
      <c r="I54" s="221"/>
      <c r="J54" s="222"/>
      <c r="K54" s="222"/>
      <c r="M54" s="1001"/>
      <c r="N54" s="1001"/>
      <c r="O54" s="224"/>
      <c r="P54" s="225"/>
      <c r="Q54" s="224"/>
    </row>
    <row r="55" spans="1:17" ht="17.45" hidden="1" customHeight="1" x14ac:dyDescent="0.3">
      <c r="A55" s="994"/>
      <c r="B55" s="879"/>
      <c r="C55" s="321"/>
      <c r="D55" s="331"/>
      <c r="E55" s="331">
        <f>IF(I33&gt;B32,'TABLE DES TAUX 2026 '!D77,0)</f>
        <v>0</v>
      </c>
      <c r="F55" s="323">
        <f t="shared" si="1"/>
        <v>0</v>
      </c>
      <c r="G55" s="321">
        <f t="shared" si="2"/>
        <v>0</v>
      </c>
      <c r="H55" s="220"/>
      <c r="I55" s="221"/>
      <c r="J55" s="222"/>
      <c r="K55" s="222"/>
      <c r="M55" s="223"/>
      <c r="N55" s="223"/>
      <c r="O55" s="224"/>
      <c r="P55" s="225"/>
      <c r="Q55" s="224"/>
    </row>
    <row r="56" spans="1:17" ht="17.45" hidden="1" customHeight="1" x14ac:dyDescent="0.3">
      <c r="A56" s="994"/>
      <c r="B56" s="879"/>
      <c r="C56" s="321"/>
      <c r="D56" s="331"/>
      <c r="E56" s="331">
        <f>IF(I34&gt;B33,'TABLE DES TAUX 2026 '!D78,0)</f>
        <v>0</v>
      </c>
      <c r="F56" s="323">
        <f t="shared" si="1"/>
        <v>0</v>
      </c>
      <c r="G56" s="321">
        <f t="shared" si="2"/>
        <v>0</v>
      </c>
      <c r="H56" s="220"/>
      <c r="I56" s="221"/>
      <c r="J56" s="222"/>
      <c r="K56" s="222"/>
      <c r="M56" s="223"/>
      <c r="N56" s="223"/>
      <c r="O56" s="224"/>
      <c r="P56" s="225"/>
      <c r="Q56" s="224"/>
    </row>
    <row r="57" spans="1:17" ht="17.45" customHeight="1" x14ac:dyDescent="0.3">
      <c r="A57" s="988" t="s">
        <v>44</v>
      </c>
      <c r="B57" s="989"/>
      <c r="C57" s="321"/>
      <c r="D57" s="322"/>
      <c r="E57" s="331"/>
      <c r="F57" s="323"/>
      <c r="G57" s="321"/>
      <c r="H57" s="220"/>
      <c r="I57" s="995"/>
      <c r="J57" s="995"/>
      <c r="M57" s="993"/>
      <c r="N57" s="993"/>
      <c r="P57" s="227"/>
      <c r="Q57" s="218"/>
    </row>
    <row r="58" spans="1:17" ht="15.6" customHeight="1" x14ac:dyDescent="0.3">
      <c r="A58" s="987" t="s">
        <v>893</v>
      </c>
      <c r="B58" s="731"/>
      <c r="C58" s="321">
        <f>J33</f>
        <v>19802.14</v>
      </c>
      <c r="D58" s="322"/>
      <c r="E58" s="295">
        <f>VLOOKUP(A58,Taux2026,4,FALSE)</f>
        <v>5.2499999999999998E-2</v>
      </c>
      <c r="F58" s="323"/>
      <c r="G58" s="321">
        <f t="shared" si="2"/>
        <v>1039.6099999999999</v>
      </c>
      <c r="H58" s="220"/>
      <c r="I58" s="261"/>
      <c r="J58" s="261"/>
      <c r="M58" s="226"/>
      <c r="N58" s="226"/>
      <c r="P58" s="227"/>
      <c r="Q58" s="218"/>
    </row>
    <row r="59" spans="1:17" ht="15.6" customHeight="1" x14ac:dyDescent="0.3">
      <c r="A59" s="987"/>
      <c r="B59" s="731"/>
      <c r="C59" s="321"/>
      <c r="D59" s="322"/>
      <c r="E59" s="295"/>
      <c r="F59" s="323"/>
      <c r="G59" s="321"/>
      <c r="H59" s="220"/>
      <c r="I59" s="23"/>
      <c r="J59" s="261"/>
      <c r="M59" s="226"/>
      <c r="N59" s="226"/>
      <c r="P59" s="227"/>
      <c r="Q59" s="218"/>
    </row>
    <row r="60" spans="1:17" ht="18.600000000000001" customHeight="1" x14ac:dyDescent="0.3">
      <c r="A60" s="988" t="s">
        <v>45</v>
      </c>
      <c r="B60" s="989"/>
      <c r="C60" s="325"/>
      <c r="D60" s="332"/>
      <c r="E60" s="331"/>
      <c r="F60" s="323"/>
      <c r="G60" s="321"/>
      <c r="H60" s="228"/>
      <c r="I60" s="23"/>
      <c r="J60" s="261"/>
      <c r="M60" s="993"/>
      <c r="N60" s="993"/>
      <c r="O60" s="229"/>
      <c r="Q60" s="24">
        <v>1.546</v>
      </c>
    </row>
    <row r="61" spans="1:17" ht="18.600000000000001" customHeight="1" x14ac:dyDescent="0.3">
      <c r="A61" s="765" t="s">
        <v>783</v>
      </c>
      <c r="B61" s="766"/>
      <c r="C61" s="326">
        <f>IF(J33&gt;C33,IF(J33&gt;4*C33,4*C33,J33),J33)</f>
        <v>16020</v>
      </c>
      <c r="D61" s="331"/>
      <c r="E61" s="543">
        <f>IF(H10&gt;=45778,4%,4.05%)+'TABLE DES TAUX 2026 '!D14</f>
        <v>4.2500000000000003E-2</v>
      </c>
      <c r="F61" s="323"/>
      <c r="G61" s="321">
        <f t="shared" si="2"/>
        <v>680.85</v>
      </c>
      <c r="H61" s="228"/>
      <c r="I61" s="23"/>
      <c r="J61" s="261"/>
      <c r="M61" s="226"/>
      <c r="N61" s="226"/>
      <c r="O61" s="229"/>
    </row>
    <row r="62" spans="1:17" ht="18.600000000000001" customHeight="1" x14ac:dyDescent="0.3">
      <c r="A62" s="765" t="s">
        <v>267</v>
      </c>
      <c r="B62" s="766"/>
      <c r="C62" s="326">
        <f>IF(I9=2,C61,0)</f>
        <v>16020</v>
      </c>
      <c r="D62" s="333">
        <f>VLOOKUP(A62,TAUX2023,3,FALSE)</f>
        <v>2.4000000000000001E-4</v>
      </c>
      <c r="E62" s="333">
        <f>VLOOKUP(A62,Taux2026,4,FALSE)</f>
        <v>3.6000000000000002E-4</v>
      </c>
      <c r="F62" s="323">
        <f t="shared" si="1"/>
        <v>3.84</v>
      </c>
      <c r="G62" s="321">
        <f t="shared" si="2"/>
        <v>5.77</v>
      </c>
      <c r="H62" s="228"/>
      <c r="J62" s="42"/>
      <c r="M62" s="226"/>
      <c r="N62" s="226"/>
      <c r="O62" s="229"/>
    </row>
    <row r="63" spans="1:17" ht="26.25" customHeight="1" x14ac:dyDescent="0.3">
      <c r="A63" s="988" t="s">
        <v>784</v>
      </c>
      <c r="B63" s="989"/>
      <c r="C63" s="321"/>
      <c r="D63" s="321"/>
      <c r="E63" s="334"/>
      <c r="F63" s="323"/>
      <c r="G63" s="321">
        <f>E130</f>
        <v>1096.31</v>
      </c>
      <c r="M63" s="993"/>
      <c r="N63" s="993"/>
      <c r="O63" s="220"/>
    </row>
    <row r="64" spans="1:17" ht="34.5" hidden="1" customHeight="1" x14ac:dyDescent="0.3">
      <c r="A64" s="1002" t="s">
        <v>47</v>
      </c>
      <c r="B64" s="1003"/>
      <c r="C64" s="335"/>
      <c r="D64" s="336"/>
      <c r="E64" s="337"/>
      <c r="F64" s="323"/>
      <c r="G64" s="321"/>
      <c r="I64" s="23"/>
      <c r="J64" s="261"/>
    </row>
    <row r="65" spans="1:11" ht="19.149999999999999" customHeight="1" x14ac:dyDescent="0.3">
      <c r="A65" s="804" t="s">
        <v>48</v>
      </c>
      <c r="B65" s="804"/>
      <c r="C65" s="330">
        <f>'HEURES SUPPLEMENTAIRES '!F136</f>
        <v>17511.730000000003</v>
      </c>
      <c r="D65" s="338">
        <f>VLOOKUP(A65,TAUX2023,3,FALSE)</f>
        <v>6.8000000000000005E-2</v>
      </c>
      <c r="E65" s="321"/>
      <c r="F65" s="323">
        <f t="shared" si="1"/>
        <v>1190.8</v>
      </c>
      <c r="G65" s="321"/>
      <c r="I65" s="23"/>
      <c r="J65" s="261"/>
    </row>
    <row r="66" spans="1:11" ht="19.149999999999999" customHeight="1" x14ac:dyDescent="0.3">
      <c r="A66" s="804" t="s">
        <v>49</v>
      </c>
      <c r="B66" s="804"/>
      <c r="C66" s="330">
        <f>C65</f>
        <v>17511.730000000003</v>
      </c>
      <c r="D66" s="338">
        <f>VLOOKUP(A66,TAUX2023,3,FALSE)</f>
        <v>2.9000000000000001E-2</v>
      </c>
      <c r="E66" s="321"/>
      <c r="F66" s="323">
        <f t="shared" si="1"/>
        <v>507.84</v>
      </c>
      <c r="G66" s="321"/>
      <c r="I66" s="23"/>
      <c r="J66" s="261"/>
      <c r="K66" s="218"/>
    </row>
    <row r="67" spans="1:11" ht="19.149999999999999" customHeight="1" x14ac:dyDescent="0.3">
      <c r="A67" s="804" t="s">
        <v>232</v>
      </c>
      <c r="B67" s="804"/>
      <c r="C67" s="330">
        <f>'HEURES SUPPLEMENTAIRES '!F137</f>
        <v>2802.14</v>
      </c>
      <c r="D67" s="338">
        <f>D65</f>
        <v>6.8000000000000005E-2</v>
      </c>
      <c r="E67" s="321"/>
      <c r="F67" s="323">
        <f t="shared" si="1"/>
        <v>190.55</v>
      </c>
      <c r="G67" s="321"/>
      <c r="J67" s="218"/>
      <c r="K67" s="218"/>
    </row>
    <row r="68" spans="1:11" ht="19.149999999999999" hidden="1" customHeight="1" x14ac:dyDescent="0.3">
      <c r="A68" s="804" t="s">
        <v>233</v>
      </c>
      <c r="B68" s="804"/>
      <c r="C68" s="330">
        <f>'HEURES SUPPLEMENTAIRES '!F138</f>
        <v>0</v>
      </c>
      <c r="D68" s="338">
        <f>D65</f>
        <v>6.8000000000000005E-2</v>
      </c>
      <c r="E68" s="321"/>
      <c r="F68" s="323">
        <f t="shared" si="1"/>
        <v>0</v>
      </c>
      <c r="G68" s="321"/>
      <c r="J68" s="218"/>
      <c r="K68" s="218"/>
    </row>
    <row r="69" spans="1:11" ht="27" customHeight="1" x14ac:dyDescent="0.3">
      <c r="A69" s="804" t="s">
        <v>234</v>
      </c>
      <c r="B69" s="804"/>
      <c r="C69" s="321">
        <f>+C67+C68</f>
        <v>2802.14</v>
      </c>
      <c r="D69" s="338">
        <f>D66</f>
        <v>2.9000000000000001E-2</v>
      </c>
      <c r="E69" s="321"/>
      <c r="F69" s="323">
        <f t="shared" si="1"/>
        <v>81.260000000000005</v>
      </c>
      <c r="G69" s="321"/>
      <c r="J69" s="218"/>
      <c r="K69" s="218"/>
    </row>
    <row r="70" spans="1:11" ht="25.15" customHeight="1" x14ac:dyDescent="0.3">
      <c r="A70" s="988" t="s">
        <v>270</v>
      </c>
      <c r="B70" s="989"/>
      <c r="C70" s="339"/>
      <c r="D70" s="339"/>
      <c r="E70" s="340"/>
      <c r="F70" s="323">
        <f t="shared" si="1"/>
        <v>0</v>
      </c>
      <c r="G70" s="296">
        <f>-'RGDU '!D25-'HEURES SUPPLEMENTAIRES '!A145</f>
        <v>-10</v>
      </c>
      <c r="J70" s="218"/>
      <c r="K70" s="218"/>
    </row>
    <row r="71" spans="1:11" ht="25.15" customHeight="1" x14ac:dyDescent="0.3">
      <c r="A71" s="804" t="s">
        <v>53</v>
      </c>
      <c r="B71" s="804"/>
      <c r="C71" s="321">
        <f>'HEURES SUPPLEMENTAIRES '!E57</f>
        <v>2802.14</v>
      </c>
      <c r="D71" s="341">
        <f>+'HEURES SUPPLEMENTAIRES '!D57</f>
        <v>0.105</v>
      </c>
      <c r="E71" s="342"/>
      <c r="F71" s="323">
        <f>-ROUND(C71*D71,2)</f>
        <v>-294.22000000000003</v>
      </c>
      <c r="G71" s="343"/>
      <c r="J71" s="218"/>
      <c r="K71" s="218"/>
    </row>
    <row r="72" spans="1:11" ht="18.600000000000001" customHeight="1" x14ac:dyDescent="0.3">
      <c r="A72" s="765" t="s">
        <v>54</v>
      </c>
      <c r="B72" s="766"/>
      <c r="C72" s="321"/>
      <c r="D72" s="321"/>
      <c r="E72" s="334"/>
      <c r="F72" s="344">
        <f>SUM(F37:F71)</f>
        <v>2233.6500000000005</v>
      </c>
      <c r="G72" s="345">
        <f>SUM(G37:G71)</f>
        <v>6828.2800000000007</v>
      </c>
      <c r="J72" s="218"/>
    </row>
    <row r="73" spans="1:11" ht="25.5" customHeight="1" x14ac:dyDescent="0.3">
      <c r="A73" s="810" t="s">
        <v>242</v>
      </c>
      <c r="B73" s="811"/>
      <c r="C73" s="321"/>
      <c r="D73" s="321"/>
      <c r="E73" s="334"/>
      <c r="F73" s="334"/>
      <c r="G73" s="321"/>
      <c r="H73" s="218"/>
      <c r="I73" s="218"/>
    </row>
    <row r="74" spans="1:11" ht="15.6" hidden="1" customHeight="1" x14ac:dyDescent="0.3">
      <c r="A74" s="765" t="s">
        <v>243</v>
      </c>
      <c r="B74" s="766"/>
      <c r="C74" s="321">
        <f>IF(I9=1,J33,0)</f>
        <v>0</v>
      </c>
      <c r="D74" s="338">
        <f>'MASQUE DE SAISIE '!G13</f>
        <v>0</v>
      </c>
      <c r="E74" s="338">
        <f>'MASQUE DE SAISIE '!H13</f>
        <v>0.02</v>
      </c>
      <c r="F74" s="334">
        <f>ROUND(C74*D74,2)</f>
        <v>0</v>
      </c>
      <c r="G74" s="207">
        <f>ROUND(C74*E74,2)</f>
        <v>0</v>
      </c>
      <c r="I74" s="218"/>
    </row>
    <row r="75" spans="1:11" ht="16.5" customHeight="1" x14ac:dyDescent="0.3">
      <c r="A75" s="765" t="s">
        <v>244</v>
      </c>
      <c r="B75" s="766"/>
      <c r="C75" s="321">
        <f>IF(I9=2,J33,0)</f>
        <v>19802.14</v>
      </c>
      <c r="D75" s="338">
        <f>'MASQUE DE SAISIE '!G16</f>
        <v>0</v>
      </c>
      <c r="E75" s="338">
        <f>'MASQUE DE SAISIE '!H16</f>
        <v>0.02</v>
      </c>
      <c r="F75" s="334">
        <f>ROUND(C75*D75,2)</f>
        <v>0</v>
      </c>
      <c r="G75" s="207">
        <f>ROUND(C75*E75,2)</f>
        <v>396.04</v>
      </c>
      <c r="I75" s="231"/>
      <c r="J75" s="232"/>
      <c r="K75" s="231"/>
    </row>
    <row r="76" spans="1:11" ht="16.5" hidden="1" customHeight="1" x14ac:dyDescent="0.3">
      <c r="A76" s="765" t="s">
        <v>198</v>
      </c>
      <c r="B76" s="766"/>
      <c r="C76" s="326"/>
      <c r="D76" s="322">
        <f>VLOOKUP(A76,TAUX2023,3,FALSE)</f>
        <v>0</v>
      </c>
      <c r="E76" s="322"/>
      <c r="F76" s="323">
        <f>ROUND(C76*D76,2)</f>
        <v>0</v>
      </c>
      <c r="G76" s="321">
        <f>ROUND(C76*E76,2)</f>
        <v>0</v>
      </c>
      <c r="I76" s="231"/>
      <c r="J76" s="232"/>
      <c r="K76" s="231"/>
    </row>
    <row r="77" spans="1:11" ht="16.5" hidden="1" customHeight="1" x14ac:dyDescent="0.3">
      <c r="A77" s="765" t="s">
        <v>371</v>
      </c>
      <c r="B77" s="766"/>
      <c r="C77" s="321"/>
      <c r="D77" s="338">
        <f>'MASQUE DE SAISIE '!G17</f>
        <v>0</v>
      </c>
      <c r="E77" s="338">
        <f>'MASQUE DE SAISIE '!H16</f>
        <v>0.02</v>
      </c>
      <c r="F77" s="334">
        <f t="shared" ref="F77" si="3">ROUND(C77*D77,2)</f>
        <v>0</v>
      </c>
      <c r="G77" s="207">
        <f t="shared" ref="G77" si="4">ROUND(C77*E77,2)</f>
        <v>0</v>
      </c>
      <c r="K77" s="218"/>
    </row>
    <row r="78" spans="1:11" ht="16.5" customHeight="1" x14ac:dyDescent="0.3">
      <c r="A78" s="807" t="s">
        <v>216</v>
      </c>
      <c r="B78" s="808"/>
      <c r="C78" s="325"/>
      <c r="D78" s="332"/>
      <c r="E78" s="332"/>
      <c r="F78" s="346">
        <f>J33-F72-F74-F75+F82</f>
        <v>17568.489999999998</v>
      </c>
      <c r="G78" s="325"/>
      <c r="K78" s="218"/>
    </row>
    <row r="79" spans="1:11" ht="15" hidden="1" customHeight="1" x14ac:dyDescent="0.3">
      <c r="A79" s="766" t="s">
        <v>245</v>
      </c>
      <c r="B79" s="941"/>
      <c r="C79" s="325"/>
      <c r="D79" s="332"/>
      <c r="E79" s="332"/>
      <c r="F79" s="325">
        <f>'MASQUE DE SAISIE '!E47*'MASQUE DE SAISIE '!E48</f>
        <v>0</v>
      </c>
      <c r="G79" s="325">
        <f>'MASQUE DE SAISIE '!E47*'MASQUE DE SAISIE '!E49</f>
        <v>0</v>
      </c>
      <c r="K79" s="218"/>
    </row>
    <row r="80" spans="1:11" ht="18.75" hidden="1" customHeight="1" x14ac:dyDescent="0.3">
      <c r="A80" s="766" t="s">
        <v>246</v>
      </c>
      <c r="B80" s="941"/>
      <c r="C80" s="325"/>
      <c r="D80" s="332"/>
      <c r="E80" s="332"/>
      <c r="F80" s="410">
        <f>'MASQUE DE SAISIE '!E50</f>
        <v>0</v>
      </c>
      <c r="G80" s="335"/>
      <c r="K80" s="218"/>
    </row>
    <row r="81" spans="1:12" ht="22.5" hidden="1" customHeight="1" x14ac:dyDescent="0.3">
      <c r="A81" s="763" t="s">
        <v>268</v>
      </c>
      <c r="B81" s="764"/>
      <c r="C81" s="291"/>
      <c r="D81" s="292"/>
      <c r="E81" s="292"/>
      <c r="F81" s="293"/>
      <c r="G81" s="293"/>
      <c r="K81" s="218"/>
    </row>
    <row r="82" spans="1:12" ht="16.149999999999999" hidden="1" customHeight="1" x14ac:dyDescent="0.3">
      <c r="A82" s="766" t="s">
        <v>434</v>
      </c>
      <c r="B82" s="941"/>
      <c r="C82" s="291"/>
      <c r="D82" s="292"/>
      <c r="E82" s="292"/>
      <c r="F82" s="468"/>
      <c r="G82" s="293"/>
      <c r="K82" s="218"/>
    </row>
    <row r="83" spans="1:12" customFormat="1" ht="23.25" customHeight="1" x14ac:dyDescent="0.25">
      <c r="A83" s="1006" t="s">
        <v>64</v>
      </c>
      <c r="B83" s="1006"/>
      <c r="C83" s="1006"/>
      <c r="D83" s="1006"/>
      <c r="E83" s="1006"/>
      <c r="F83" s="1006"/>
      <c r="G83" s="1006"/>
      <c r="H83" s="1006"/>
      <c r="I83" s="1006"/>
      <c r="J83" s="1004">
        <f>J33-F72-F74-F75-F44-F77-F79+F80-F81+F82</f>
        <v>17568.489999999998</v>
      </c>
      <c r="K83" s="1005"/>
      <c r="L83" s="1005"/>
    </row>
    <row r="84" spans="1:12" customFormat="1" ht="18" customHeight="1" x14ac:dyDescent="0.25">
      <c r="A84" s="1006" t="s">
        <v>217</v>
      </c>
      <c r="B84" s="1006"/>
      <c r="C84" s="1006"/>
      <c r="D84" s="1006"/>
      <c r="E84" s="1006"/>
      <c r="F84" s="1006"/>
      <c r="G84" s="1006"/>
      <c r="H84" s="1006"/>
      <c r="I84" s="1006"/>
      <c r="J84" s="1004">
        <f>'HEURES SUPPLEMENTAIRES '!E100</f>
        <v>15942.039999999997</v>
      </c>
      <c r="K84" s="1005"/>
      <c r="L84" s="1005"/>
    </row>
    <row r="85" spans="1:12" customFormat="1" ht="23.25" customHeight="1" x14ac:dyDescent="0.25">
      <c r="A85" s="997" t="s">
        <v>218</v>
      </c>
      <c r="B85" s="997"/>
      <c r="C85" s="997"/>
      <c r="D85" s="997"/>
      <c r="E85" s="997"/>
      <c r="F85" s="997"/>
      <c r="G85" s="997"/>
      <c r="H85" s="997"/>
      <c r="I85" s="997"/>
      <c r="J85" s="999">
        <f>'HEURES SUPPLEMENTAIRES '!E57-F67</f>
        <v>2611.5899999999997</v>
      </c>
      <c r="K85" s="999"/>
      <c r="L85" s="67"/>
    </row>
    <row r="86" spans="1:12" customFormat="1" ht="23.25" customHeight="1" x14ac:dyDescent="0.25">
      <c r="A86" s="997" t="s">
        <v>286</v>
      </c>
      <c r="B86" s="997"/>
      <c r="C86" s="997"/>
      <c r="D86" s="997"/>
      <c r="E86" s="997"/>
      <c r="F86" s="997"/>
      <c r="G86" s="997"/>
      <c r="H86" s="997"/>
      <c r="I86" s="997"/>
      <c r="J86" s="472">
        <f>'HEURES SUPPLEMENTAIRES '!G57</f>
        <v>0</v>
      </c>
      <c r="K86" s="473"/>
      <c r="L86" s="474"/>
    </row>
    <row r="87" spans="1:12" customFormat="1" ht="23.25" customHeight="1" x14ac:dyDescent="0.25">
      <c r="A87" s="1011" t="s">
        <v>219</v>
      </c>
      <c r="B87" s="1012"/>
      <c r="C87" s="1013"/>
      <c r="D87" s="794" t="s">
        <v>59</v>
      </c>
      <c r="E87" s="794"/>
      <c r="F87" s="794" t="s">
        <v>66</v>
      </c>
      <c r="G87" s="794"/>
      <c r="H87" s="347" t="s">
        <v>60</v>
      </c>
      <c r="I87" s="64"/>
      <c r="J87" s="998" t="s">
        <v>285</v>
      </c>
      <c r="K87" s="998"/>
      <c r="L87" s="58"/>
    </row>
    <row r="88" spans="1:12" customFormat="1" ht="20.25" customHeight="1" x14ac:dyDescent="0.25">
      <c r="A88" s="1014"/>
      <c r="B88" s="1015"/>
      <c r="C88" s="1016"/>
      <c r="D88" s="1017">
        <f>J84</f>
        <v>15942.039999999997</v>
      </c>
      <c r="E88" s="1018"/>
      <c r="F88" s="1019">
        <f>'TAUX NEUTRE '!H12</f>
        <v>0.28000000000000003</v>
      </c>
      <c r="G88" s="1020"/>
      <c r="H88" s="348">
        <f>ROUND(D88*F88,2)</f>
        <v>4463.7700000000004</v>
      </c>
      <c r="I88" s="64"/>
      <c r="J88" s="58"/>
      <c r="K88" s="58"/>
      <c r="L88" s="58"/>
    </row>
    <row r="89" spans="1:12" customFormat="1" ht="15" x14ac:dyDescent="0.25">
      <c r="A89" s="1009" t="s">
        <v>269</v>
      </c>
      <c r="B89" s="1009"/>
      <c r="C89" s="1009"/>
      <c r="D89" s="1009"/>
      <c r="E89" s="1009"/>
      <c r="F89" s="1009"/>
      <c r="G89" s="1009"/>
      <c r="H89" s="1009"/>
      <c r="I89" s="1009"/>
      <c r="J89" s="1000">
        <f>J83-H88</f>
        <v>13104.719999999998</v>
      </c>
      <c r="K89" s="1000"/>
      <c r="L89" s="1000"/>
    </row>
    <row r="90" spans="1:12" customFormat="1" ht="15" x14ac:dyDescent="0.25">
      <c r="A90" s="1009" t="s">
        <v>57</v>
      </c>
      <c r="B90" s="1009"/>
      <c r="C90" s="1009"/>
      <c r="D90" s="1009"/>
      <c r="E90" s="1009"/>
      <c r="F90" s="1009"/>
      <c r="G90" s="1009"/>
      <c r="H90" s="1009"/>
      <c r="I90" s="1009"/>
      <c r="J90" s="1000">
        <f>G72+J33+G74+G75+G44+G77</f>
        <v>27026.46</v>
      </c>
      <c r="K90" s="1010"/>
      <c r="L90" s="1010"/>
    </row>
    <row r="91" spans="1:12" customFormat="1" ht="15" x14ac:dyDescent="0.25">
      <c r="A91" s="61"/>
      <c r="B91" s="69" t="s">
        <v>63</v>
      </c>
      <c r="C91" s="69" t="s">
        <v>272</v>
      </c>
      <c r="D91" s="1007" t="s">
        <v>274</v>
      </c>
      <c r="E91" s="1008"/>
      <c r="F91" s="1007" t="s">
        <v>275</v>
      </c>
      <c r="G91" s="1008"/>
      <c r="H91" s="349"/>
      <c r="I91" s="349"/>
      <c r="J91" s="175"/>
      <c r="K91" s="350"/>
      <c r="L91" s="350"/>
    </row>
    <row r="92" spans="1:12" customFormat="1" ht="21" customHeight="1" x14ac:dyDescent="0.25">
      <c r="A92" s="351" t="s">
        <v>273</v>
      </c>
      <c r="B92" s="65">
        <f>H88</f>
        <v>4463.7700000000004</v>
      </c>
      <c r="C92" s="65"/>
      <c r="D92" s="69" t="s">
        <v>98</v>
      </c>
      <c r="E92" s="65"/>
      <c r="F92" s="69" t="s">
        <v>282</v>
      </c>
      <c r="G92" s="65"/>
      <c r="H92" s="69"/>
      <c r="I92" s="349"/>
      <c r="J92" s="175"/>
      <c r="K92" s="350"/>
      <c r="L92" s="350"/>
    </row>
    <row r="93" spans="1:12" customFormat="1" ht="21" customHeight="1" x14ac:dyDescent="0.25">
      <c r="A93" s="352" t="s">
        <v>277</v>
      </c>
      <c r="B93" s="354">
        <f>C71</f>
        <v>2802.14</v>
      </c>
      <c r="C93" s="354"/>
      <c r="D93" s="69" t="s">
        <v>91</v>
      </c>
      <c r="E93" s="65"/>
      <c r="F93" s="69" t="s">
        <v>231</v>
      </c>
      <c r="G93" s="65"/>
      <c r="H93" s="349"/>
      <c r="I93" s="349"/>
      <c r="J93" s="175"/>
      <c r="K93" s="350"/>
      <c r="L93" s="350"/>
    </row>
    <row r="94" spans="1:12" customFormat="1" ht="17.25" customHeight="1" x14ac:dyDescent="0.25">
      <c r="A94" s="353" t="s">
        <v>176</v>
      </c>
      <c r="B94" s="354">
        <f>J33</f>
        <v>19802.14</v>
      </c>
      <c r="C94" s="354"/>
      <c r="D94" s="69" t="s">
        <v>230</v>
      </c>
      <c r="E94" s="65"/>
      <c r="F94" s="69" t="s">
        <v>230</v>
      </c>
      <c r="G94" s="65"/>
      <c r="H94" s="349"/>
      <c r="I94" s="349"/>
      <c r="J94" s="175"/>
      <c r="K94" s="350"/>
      <c r="L94" s="350"/>
    </row>
    <row r="95" spans="1:12" customFormat="1" ht="17.25" customHeight="1" x14ac:dyDescent="0.25">
      <c r="A95" s="353" t="s">
        <v>61</v>
      </c>
      <c r="B95" s="354">
        <f>+J84</f>
        <v>15942.039999999997</v>
      </c>
      <c r="C95" s="354"/>
      <c r="D95" s="349"/>
      <c r="E95" s="349"/>
      <c r="F95" s="349"/>
      <c r="G95" s="349"/>
      <c r="H95" s="349"/>
      <c r="I95" s="349"/>
      <c r="J95" s="175"/>
      <c r="K95" s="350"/>
      <c r="L95" s="350"/>
    </row>
    <row r="96" spans="1:12" customFormat="1" ht="15" customHeight="1" x14ac:dyDescent="0.25">
      <c r="A96" s="788" t="s">
        <v>58</v>
      </c>
      <c r="B96" s="788"/>
      <c r="C96" s="788"/>
      <c r="D96" s="788"/>
      <c r="E96" s="788"/>
      <c r="F96" s="23"/>
      <c r="G96" s="23"/>
      <c r="H96" s="23"/>
      <c r="I96" s="23"/>
      <c r="J96" s="23"/>
      <c r="K96" s="23"/>
      <c r="L96" s="23"/>
    </row>
    <row r="97" spans="1:9" s="23" customFormat="1" ht="12" customHeight="1" x14ac:dyDescent="0.25">
      <c r="A97" s="43" t="s">
        <v>62</v>
      </c>
    </row>
    <row r="98" spans="1:9" s="23" customFormat="1" ht="12" customHeight="1" x14ac:dyDescent="0.25">
      <c r="A98" s="23" t="s">
        <v>287</v>
      </c>
    </row>
    <row r="99" spans="1:9" s="23" customFormat="1" ht="12" hidden="1" customHeight="1" x14ac:dyDescent="0.25">
      <c r="A99" s="43"/>
    </row>
    <row r="100" spans="1:9" s="23" customFormat="1" ht="12" hidden="1" customHeight="1" x14ac:dyDescent="0.3">
      <c r="A100" s="236" t="s">
        <v>87</v>
      </c>
      <c r="B100" s="237"/>
      <c r="C100" s="238">
        <v>7.4999999999999997E-3</v>
      </c>
      <c r="D100" s="230">
        <f>ROUND(J33*C100,2)</f>
        <v>148.52000000000001</v>
      </c>
      <c r="E100" s="217"/>
      <c r="F100" s="239"/>
      <c r="G100" s="216"/>
      <c r="H100" s="24"/>
      <c r="I100" s="24"/>
    </row>
    <row r="101" spans="1:9" ht="30.75" hidden="1" customHeight="1" x14ac:dyDescent="0.3">
      <c r="A101" s="236" t="s">
        <v>88</v>
      </c>
      <c r="B101" s="237"/>
      <c r="C101" s="240">
        <f>(2.4-0.95)%</f>
        <v>1.4499999999999999E-2</v>
      </c>
      <c r="D101" s="230">
        <f>ROUND(C61*C101,2)</f>
        <v>232.29</v>
      </c>
      <c r="F101" s="235"/>
    </row>
    <row r="102" spans="1:9" ht="30.75" hidden="1" customHeight="1" x14ac:dyDescent="0.3">
      <c r="A102" s="241" t="s">
        <v>235</v>
      </c>
      <c r="B102" s="237"/>
      <c r="D102" s="217">
        <f>D100+D101</f>
        <v>380.81</v>
      </c>
      <c r="F102" s="235"/>
    </row>
    <row r="103" spans="1:9" ht="30.75" hidden="1" customHeight="1" x14ac:dyDescent="0.3">
      <c r="A103" s="236" t="s">
        <v>236</v>
      </c>
      <c r="C103" s="217"/>
      <c r="F103" s="242"/>
    </row>
    <row r="104" spans="1:9" ht="30.75" hidden="1" customHeight="1" x14ac:dyDescent="0.3">
      <c r="A104" s="236"/>
      <c r="C104" s="217"/>
      <c r="F104" s="242"/>
    </row>
    <row r="105" spans="1:9" ht="30.75" hidden="1" customHeight="1" x14ac:dyDescent="0.3">
      <c r="A105" s="236" t="s">
        <v>89</v>
      </c>
      <c r="B105" s="243"/>
      <c r="C105" s="230">
        <v>1.7000000000000001E-2</v>
      </c>
      <c r="D105" s="230">
        <f>ROUND(C65*C105,2)</f>
        <v>297.7</v>
      </c>
      <c r="F105" s="242"/>
    </row>
    <row r="106" spans="1:9" ht="30.75" hidden="1" customHeight="1" x14ac:dyDescent="0.3">
      <c r="A106" s="244"/>
      <c r="B106" s="245"/>
      <c r="C106" s="246"/>
      <c r="D106" s="246"/>
      <c r="E106" s="246"/>
      <c r="F106" s="247"/>
    </row>
    <row r="107" spans="1:9" ht="30.75" hidden="1" customHeight="1" x14ac:dyDescent="0.3">
      <c r="A107" s="248" t="s">
        <v>237</v>
      </c>
      <c r="B107" s="249"/>
      <c r="C107" s="250"/>
      <c r="D107" s="250"/>
      <c r="E107" s="250"/>
      <c r="F107" s="251"/>
    </row>
    <row r="108" spans="1:9" ht="30.75" hidden="1" customHeight="1" x14ac:dyDescent="0.3">
      <c r="A108" s="233"/>
      <c r="B108" s="234"/>
      <c r="C108" s="252"/>
      <c r="F108" s="253"/>
    </row>
    <row r="109" spans="1:9" ht="30.75" hidden="1" customHeight="1" x14ac:dyDescent="0.3">
      <c r="A109" s="236" t="s">
        <v>87</v>
      </c>
      <c r="B109" s="237"/>
      <c r="C109" s="238">
        <v>7.4999999999999997E-3</v>
      </c>
      <c r="D109" s="230">
        <f>ROUND(J33*C109,2)</f>
        <v>148.52000000000001</v>
      </c>
      <c r="E109" s="216"/>
      <c r="F109" s="235"/>
    </row>
    <row r="110" spans="1:9" ht="30.75" hidden="1" customHeight="1" x14ac:dyDescent="0.3">
      <c r="A110" s="236" t="s">
        <v>88</v>
      </c>
      <c r="B110" s="237"/>
      <c r="C110" s="240">
        <f>(2.4)%</f>
        <v>2.4E-2</v>
      </c>
      <c r="D110" s="230">
        <f>ROUND(C61*C110,2)</f>
        <v>384.48</v>
      </c>
      <c r="E110" s="254"/>
      <c r="F110" s="235"/>
    </row>
    <row r="111" spans="1:9" ht="30.75" hidden="1" customHeight="1" x14ac:dyDescent="0.3">
      <c r="A111" s="241" t="s">
        <v>238</v>
      </c>
      <c r="B111" s="237"/>
      <c r="E111" s="254"/>
      <c r="F111" s="235"/>
    </row>
    <row r="112" spans="1:9" ht="30.75" hidden="1" customHeight="1" x14ac:dyDescent="0.3">
      <c r="A112" s="236" t="s">
        <v>236</v>
      </c>
      <c r="C112" s="217"/>
      <c r="E112" s="255">
        <f>D110+D109-D114</f>
        <v>235.3</v>
      </c>
      <c r="F112" s="235"/>
    </row>
    <row r="113" spans="1:18" ht="30.75" hidden="1" customHeight="1" x14ac:dyDescent="0.3">
      <c r="A113" s="236"/>
      <c r="C113" s="217"/>
      <c r="E113" s="254"/>
      <c r="F113" s="235"/>
    </row>
    <row r="114" spans="1:18" ht="30.75" hidden="1" customHeight="1" x14ac:dyDescent="0.3">
      <c r="A114" s="236" t="s">
        <v>89</v>
      </c>
      <c r="B114" s="243"/>
      <c r="C114" s="230">
        <v>1.7000000000000001E-2</v>
      </c>
      <c r="D114" s="230">
        <f>ROUND(C65*C114,2)</f>
        <v>297.7</v>
      </c>
      <c r="F114" s="235"/>
    </row>
    <row r="115" spans="1:18" ht="30.75" hidden="1" customHeight="1" x14ac:dyDescent="0.3">
      <c r="A115" s="256"/>
      <c r="B115" s="257"/>
      <c r="C115" s="258"/>
      <c r="D115" s="258"/>
      <c r="E115" s="258"/>
      <c r="F115" s="259"/>
    </row>
    <row r="116" spans="1:18" ht="30.75" hidden="1" customHeight="1" x14ac:dyDescent="0.3">
      <c r="B116" s="237"/>
    </row>
    <row r="117" spans="1:18" ht="30.75" customHeight="1" x14ac:dyDescent="0.3">
      <c r="A117" s="25" t="s">
        <v>81</v>
      </c>
    </row>
    <row r="118" spans="1:18" ht="30.75" customHeight="1" x14ac:dyDescent="0.3">
      <c r="A118" s="981" t="s">
        <v>81</v>
      </c>
      <c r="B118" s="981"/>
      <c r="C118" s="981"/>
      <c r="D118" s="981"/>
      <c r="E118" s="981"/>
      <c r="F118" s="181"/>
      <c r="G118" s="25"/>
      <c r="H118" s="25"/>
      <c r="I118" s="25"/>
    </row>
    <row r="119" spans="1:18" customFormat="1" ht="22.15" customHeight="1" x14ac:dyDescent="0.25">
      <c r="A119" s="183"/>
      <c r="B119" s="58"/>
      <c r="C119" s="191" t="s">
        <v>32</v>
      </c>
      <c r="D119" s="191" t="s">
        <v>276</v>
      </c>
      <c r="E119" s="191" t="s">
        <v>92</v>
      </c>
      <c r="H119" s="25"/>
      <c r="I119" s="25"/>
      <c r="J119" s="25"/>
      <c r="K119" s="25"/>
      <c r="L119" s="25"/>
      <c r="M119" s="27"/>
      <c r="N119" s="27"/>
      <c r="O119" s="27"/>
      <c r="P119" s="27"/>
      <c r="Q119" s="27"/>
      <c r="R119" s="27"/>
    </row>
    <row r="120" spans="1:18" customFormat="1" ht="15.75" x14ac:dyDescent="0.25">
      <c r="A120" s="903" t="s">
        <v>84</v>
      </c>
      <c r="B120" s="904"/>
      <c r="C120" s="609">
        <f>IF(B9&lt;50,IF(J33&gt;C33,C33,J33),0)</f>
        <v>4005</v>
      </c>
      <c r="D120" s="51">
        <f>'TABLE DES TAUX 2026 '!D26</f>
        <v>1E-3</v>
      </c>
      <c r="E120" s="609">
        <f t="shared" ref="E120:E129" si="5">ROUND(C120*D120,2)</f>
        <v>4.01</v>
      </c>
      <c r="G120" s="529"/>
      <c r="H120" s="25"/>
      <c r="I120" s="25"/>
      <c r="J120" s="25"/>
      <c r="K120" s="25"/>
      <c r="L120" s="25"/>
      <c r="M120" s="27"/>
      <c r="N120" s="27"/>
      <c r="O120" s="27"/>
      <c r="P120" s="27"/>
      <c r="Q120" s="27"/>
      <c r="R120" s="27"/>
    </row>
    <row r="121" spans="1:18" customFormat="1" x14ac:dyDescent="0.3">
      <c r="A121" s="903" t="s">
        <v>85</v>
      </c>
      <c r="B121" s="904"/>
      <c r="C121" s="609">
        <f>IF(B9&gt;=50,J33,0)</f>
        <v>0</v>
      </c>
      <c r="D121" s="51">
        <f>'TABLE DES TAUX 2026 '!D27</f>
        <v>5.0000000000000001E-3</v>
      </c>
      <c r="E121" s="609">
        <f t="shared" si="5"/>
        <v>0</v>
      </c>
      <c r="G121" s="530"/>
      <c r="H121" s="25"/>
      <c r="I121" s="25"/>
      <c r="J121" s="25"/>
      <c r="K121" s="25"/>
      <c r="L121" s="25"/>
      <c r="M121" s="27"/>
      <c r="N121" s="27"/>
      <c r="O121" s="27"/>
      <c r="P121" s="27"/>
      <c r="Q121" s="27"/>
      <c r="R121" s="27"/>
    </row>
    <row r="122" spans="1:18" customFormat="1" ht="15.75" x14ac:dyDescent="0.25">
      <c r="A122" s="903" t="s">
        <v>266</v>
      </c>
      <c r="B122" s="904"/>
      <c r="C122" s="609">
        <f>IF(B9&gt;=11,J33,0)</f>
        <v>19802.14</v>
      </c>
      <c r="D122" s="51">
        <f>'TABLE DES TAUX 2026 '!D28</f>
        <v>3.2000000000000001E-2</v>
      </c>
      <c r="E122" s="609">
        <f t="shared" si="5"/>
        <v>633.66999999999996</v>
      </c>
      <c r="G122" s="529"/>
      <c r="H122" s="25"/>
      <c r="I122" s="25"/>
      <c r="J122" s="25"/>
      <c r="K122" s="25"/>
      <c r="L122" s="25"/>
      <c r="M122" s="27"/>
      <c r="N122" s="27"/>
      <c r="O122" s="27"/>
      <c r="P122" s="27"/>
      <c r="Q122" s="27"/>
      <c r="R122" s="27"/>
    </row>
    <row r="123" spans="1:18" customFormat="1" ht="15.75" x14ac:dyDescent="0.25">
      <c r="A123" s="903" t="s">
        <v>70</v>
      </c>
      <c r="B123" s="904"/>
      <c r="C123" s="609">
        <f>J33</f>
        <v>19802.14</v>
      </c>
      <c r="D123" s="51">
        <f>'TABLE DES TAUX 2026 '!D29</f>
        <v>3.0000000000000001E-3</v>
      </c>
      <c r="E123" s="609">
        <f t="shared" si="5"/>
        <v>59.41</v>
      </c>
      <c r="H123" s="25"/>
      <c r="I123" s="25"/>
      <c r="J123" s="25"/>
      <c r="K123" s="25"/>
      <c r="L123" s="25"/>
      <c r="M123" s="27"/>
      <c r="N123" s="27"/>
      <c r="O123" s="27"/>
      <c r="P123" s="27"/>
      <c r="Q123" s="27"/>
      <c r="R123" s="27"/>
    </row>
    <row r="124" spans="1:18" customFormat="1" ht="15.75" x14ac:dyDescent="0.25">
      <c r="A124" s="903" t="s">
        <v>82</v>
      </c>
      <c r="B124" s="904"/>
      <c r="C124" s="609">
        <f>IF(B9&gt;=11, IF(I9=2,G43+G44+G75,G40+G74),0)</f>
        <v>792.08</v>
      </c>
      <c r="D124" s="51">
        <f>'TABLE DES TAUX 2026 '!D30</f>
        <v>0.08</v>
      </c>
      <c r="E124" s="609">
        <f t="shared" si="5"/>
        <v>63.37</v>
      </c>
      <c r="H124" s="27"/>
      <c r="I124" s="27"/>
      <c r="J124" s="25"/>
      <c r="K124" s="25"/>
      <c r="L124" s="25"/>
      <c r="M124" s="27"/>
      <c r="N124" s="27"/>
      <c r="O124" s="27"/>
      <c r="P124" s="27"/>
      <c r="Q124" s="27"/>
      <c r="R124" s="27"/>
    </row>
    <row r="125" spans="1:18" customFormat="1" ht="17.25" customHeight="1" x14ac:dyDescent="0.25">
      <c r="A125" s="903" t="s">
        <v>213</v>
      </c>
      <c r="B125" s="904"/>
      <c r="C125" s="609">
        <f>G77</f>
        <v>0</v>
      </c>
      <c r="D125" s="51">
        <f>'TABLE DES TAUX 2026 '!D31</f>
        <v>0.2</v>
      </c>
      <c r="E125" s="609">
        <f t="shared" si="5"/>
        <v>0</v>
      </c>
      <c r="H125" s="27"/>
      <c r="I125" s="27"/>
      <c r="J125" s="27"/>
      <c r="K125" s="27"/>
      <c r="L125" s="27"/>
      <c r="M125" s="27"/>
      <c r="N125" s="27"/>
      <c r="O125" s="27"/>
      <c r="P125" s="27"/>
      <c r="Q125" s="27"/>
      <c r="R125" s="27"/>
    </row>
    <row r="126" spans="1:18" customFormat="1" ht="18" customHeight="1" x14ac:dyDescent="0.25">
      <c r="A126" s="903" t="s">
        <v>71</v>
      </c>
      <c r="B126" s="904"/>
      <c r="C126" s="609">
        <f>+J33</f>
        <v>19802.14</v>
      </c>
      <c r="D126" s="51">
        <f>'TABLE DES TAUX 2026 '!D32</f>
        <v>1.6000000000000001E-4</v>
      </c>
      <c r="E126" s="609">
        <f t="shared" si="5"/>
        <v>3.17</v>
      </c>
      <c r="H126" s="27"/>
      <c r="I126" s="27"/>
      <c r="J126" s="27"/>
      <c r="K126" s="27"/>
      <c r="L126" s="27"/>
      <c r="M126" s="27"/>
      <c r="N126" s="27"/>
      <c r="O126" s="27"/>
      <c r="P126" s="27"/>
      <c r="Q126" s="27"/>
      <c r="R126" s="27"/>
    </row>
    <row r="127" spans="1:18" customFormat="1" ht="24.6" customHeight="1" x14ac:dyDescent="0.25">
      <c r="A127" s="903" t="s">
        <v>789</v>
      </c>
      <c r="B127" s="904"/>
      <c r="C127" s="609">
        <f>IF(B9&gt;=11,J33,0)</f>
        <v>19802.14</v>
      </c>
      <c r="D127" s="51">
        <f>'TABLE DES TAUX 2026 '!D33+'TABLE DES TAUX 2026 '!D34</f>
        <v>1.6799999999999999E-2</v>
      </c>
      <c r="E127" s="609">
        <f t="shared" si="5"/>
        <v>332.68</v>
      </c>
      <c r="H127" s="27"/>
      <c r="I127" s="27"/>
      <c r="J127" s="27"/>
      <c r="K127" s="27"/>
      <c r="L127" s="27"/>
      <c r="M127" s="27"/>
      <c r="N127" s="27"/>
      <c r="O127" s="27"/>
      <c r="P127" s="27"/>
      <c r="Q127" s="27"/>
      <c r="R127" s="27"/>
    </row>
    <row r="128" spans="1:18" customFormat="1" ht="25.15" customHeight="1" x14ac:dyDescent="0.25">
      <c r="A128" s="903" t="s">
        <v>790</v>
      </c>
      <c r="B128" s="904"/>
      <c r="C128" s="609">
        <f>IF(B9&lt;11,J33,0)</f>
        <v>0</v>
      </c>
      <c r="D128" s="51">
        <f>'TABLE DES TAUX 2026 '!D33+'TABLE DES TAUX 2026 '!D35</f>
        <v>1.2299999999999998E-2</v>
      </c>
      <c r="E128" s="609">
        <f t="shared" si="5"/>
        <v>0</v>
      </c>
      <c r="H128" s="27"/>
      <c r="I128" s="27"/>
      <c r="J128" s="27"/>
      <c r="K128" s="27"/>
      <c r="L128" s="27"/>
      <c r="M128" s="27"/>
      <c r="N128" s="27"/>
      <c r="O128" s="27"/>
      <c r="P128" s="27"/>
      <c r="Q128" s="27"/>
      <c r="R128" s="27"/>
    </row>
    <row r="129" spans="1:18" customFormat="1" ht="15.75" x14ac:dyDescent="0.25">
      <c r="A129" s="903" t="s">
        <v>76</v>
      </c>
      <c r="B129" s="904"/>
      <c r="C129" s="609">
        <f>IF(B9&lt;50,0,J33)</f>
        <v>0</v>
      </c>
      <c r="D129" s="51">
        <f>'TABLE DES TAUX 2026 '!D35</f>
        <v>5.4999999999999997E-3</v>
      </c>
      <c r="E129" s="609">
        <f t="shared" si="5"/>
        <v>0</v>
      </c>
      <c r="H129" s="27"/>
      <c r="I129" s="27"/>
      <c r="J129" s="27"/>
      <c r="K129" s="27"/>
      <c r="L129" s="27"/>
      <c r="M129" s="27"/>
      <c r="N129" s="27"/>
      <c r="O129" s="27"/>
      <c r="P129" s="27"/>
      <c r="Q129" s="27"/>
      <c r="R129" s="27"/>
    </row>
    <row r="130" spans="1:18" customFormat="1" ht="15.75" x14ac:dyDescent="0.25">
      <c r="A130" s="27"/>
      <c r="B130" s="27"/>
      <c r="D130" s="27"/>
      <c r="E130" s="44">
        <f>SUM(E120:E129)</f>
        <v>1096.31</v>
      </c>
      <c r="G130" s="27"/>
      <c r="H130" s="27"/>
      <c r="I130" s="27"/>
      <c r="J130" s="27"/>
      <c r="K130" s="27"/>
      <c r="L130" s="27"/>
      <c r="M130" s="27"/>
      <c r="N130" s="27"/>
      <c r="O130" s="27"/>
      <c r="P130" s="27"/>
      <c r="Q130" s="27"/>
      <c r="R130" s="27"/>
    </row>
    <row r="131" spans="1:18" customFormat="1" x14ac:dyDescent="0.3">
      <c r="A131" s="219"/>
      <c r="B131" s="219"/>
      <c r="C131" s="216"/>
      <c r="D131" s="217"/>
      <c r="E131" s="217"/>
      <c r="F131" s="216"/>
      <c r="G131" s="216"/>
      <c r="H131" s="24"/>
      <c r="I131" s="24"/>
      <c r="J131" s="27"/>
      <c r="K131" s="27"/>
      <c r="L131" s="27"/>
      <c r="M131" s="27"/>
      <c r="N131" s="27"/>
      <c r="O131" s="27"/>
      <c r="P131" s="27"/>
      <c r="Q131" s="27"/>
      <c r="R131" s="27"/>
    </row>
  </sheetData>
  <mergeCells count="130">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 ref="F91:G91"/>
    <mergeCell ref="A90:I90"/>
    <mergeCell ref="J90:L90"/>
    <mergeCell ref="A87:C88"/>
    <mergeCell ref="D87:E87"/>
    <mergeCell ref="F87:G87"/>
    <mergeCell ref="D88:E88"/>
    <mergeCell ref="F88:G88"/>
    <mergeCell ref="A89:I89"/>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22</vt:i4>
      </vt:variant>
      <vt:variant>
        <vt:lpstr>Plages nommées</vt:lpstr>
      </vt:variant>
      <vt:variant>
        <vt:i4>2</vt:i4>
      </vt:variant>
    </vt:vector>
  </HeadingPairs>
  <TitlesOfParts>
    <vt:vector size="24" baseType="lpstr">
      <vt:lpstr>PRESENTATION </vt:lpstr>
      <vt:lpstr>INTRODUCTION </vt:lpstr>
      <vt:lpstr>MASQUE DE SAISIE </vt:lpstr>
      <vt:lpstr>TABLE DES TAUX 2026 </vt:lpstr>
      <vt:lpstr>EXPLICATIONS FEUILLE HEURES SUP</vt:lpstr>
      <vt:lpstr>TRAME DE BP AMELIOREE  </vt:lpstr>
      <vt:lpstr>EXPLIC HEURES SUP SUITE</vt:lpstr>
      <vt:lpstr>BP VERSION JANVIER 2023</vt:lpstr>
      <vt:lpstr>BP FORMAT JUILLET 2023</vt:lpstr>
      <vt:lpstr>HEURES SUPPLEMENTAIRES </vt:lpstr>
      <vt:lpstr>FEUILLE DE CONTROLE </vt:lpstr>
      <vt:lpstr>BOSS</vt:lpstr>
      <vt:lpstr>RGDU </vt:lpstr>
      <vt:lpstr>TR Matrice Net Imposable </vt:lpstr>
      <vt:lpstr>TR Matrice Cotisations </vt:lpstr>
      <vt:lpstr>TAUX NEUTRE </vt:lpstr>
      <vt:lpstr>TAUX NEUTRE JANVIER  </vt:lpstr>
      <vt:lpstr>TAUX NEUTRE MAI </vt:lpstr>
      <vt:lpstr>MATRICE IJSS ABSENCE </vt:lpstr>
      <vt:lpstr>MATRICE IJSS MALADIE</vt:lpstr>
      <vt:lpstr>MATRICE IJSS MATERNITE </vt:lpstr>
      <vt:lpstr>MATRICE ISS AT </vt:lpstr>
      <vt:lpstr>TAUX2023</vt:lpstr>
      <vt:lpstr>Taux2026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2025-05-28T13:49:48Z</cp:lastPrinted>
  <dcterms:created xsi:type="dcterms:W3CDTF">2019-09-02T13:46:41Z</dcterms:created>
  <dcterms:modified xsi:type="dcterms:W3CDTF">2026-01-19T22:06:39Z</dcterms:modified>
</cp:coreProperties>
</file>